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10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025 AVIMOC\"/>
    </mc:Choice>
  </mc:AlternateContent>
  <xr:revisionPtr revIDLastSave="0" documentId="13_ncr:1_{E98D4C5D-7513-45E7-83C3-1B736A7C139B}" xr6:coauthVersionLast="47" xr6:coauthVersionMax="47" xr10:uidLastSave="{00000000-0000-0000-0000-000000000000}"/>
  <bookViews>
    <workbookView xWindow="-98" yWindow="-98" windowWidth="19396" windowHeight="11475" tabRatio="894" xr2:uid="{00000000-000D-0000-FFFF-FFFF00000000}"/>
  </bookViews>
  <sheets>
    <sheet name="Cuota Mes" sheetId="7" r:id="rId1"/>
    <sheet name="Pago Cuota MC 2025" sheetId="11" r:id="rId2"/>
    <sheet name="Cuota-Pago=Saldo" sheetId="4" r:id="rId3"/>
    <sheet name="Ene 25" sheetId="38" state="hidden" r:id="rId4"/>
    <sheet name="Feb 25" sheetId="40" state="hidden" r:id="rId5"/>
    <sheet name="Mar 25" sheetId="41" state="hidden" r:id="rId6"/>
    <sheet name="Recibo CM-JP" sheetId="53" r:id="rId7"/>
    <sheet name="Abr 25" sheetId="42" state="hidden" r:id="rId8"/>
    <sheet name="May 25" sheetId="43" state="hidden" r:id="rId9"/>
    <sheet name="Jun 25" sheetId="44" state="hidden" r:id="rId10"/>
    <sheet name="Jul 25" sheetId="45" r:id="rId11"/>
    <sheet name="Ago 25" sheetId="47" r:id="rId12"/>
    <sheet name="Sep 25" sheetId="48" r:id="rId13"/>
    <sheet name="Oct 25" sheetId="49" r:id="rId14"/>
    <sheet name="Nov 25" sheetId="50" r:id="rId15"/>
    <sheet name="Dic 25" sheetId="51" r:id="rId16"/>
    <sheet name="A" sheetId="13" r:id="rId17"/>
    <sheet name="B" sheetId="20" r:id="rId18"/>
    <sheet name="C" sheetId="21" r:id="rId19"/>
    <sheet name="D" sheetId="19" r:id="rId20"/>
    <sheet name="E" sheetId="18" r:id="rId21"/>
    <sheet name="F" sheetId="14" r:id="rId22"/>
    <sheet name="G" sheetId="17" r:id="rId23"/>
    <sheet name="H" sheetId="15" r:id="rId24"/>
    <sheet name="I" sheetId="16" r:id="rId25"/>
    <sheet name="Pago Cuota MC 2024" sheetId="39" r:id="rId26"/>
    <sheet name="M3 Dpto" sheetId="29" r:id="rId27"/>
    <sheet name="% Dpto." sheetId="55" state="hidden" r:id="rId28"/>
  </sheets>
  <externalReferences>
    <externalReference r:id="rId29"/>
  </externalReferences>
  <definedNames>
    <definedName name="_xlnm.Print_Area" localSheetId="0">'Cuota Mes'!$A$1:$AJ$37</definedName>
    <definedName name="_xlnm.Print_Area" localSheetId="25">'Pago Cuota MC 2024'!$C$3:$F$182</definedName>
    <definedName name="_xlnm.Print_Area" localSheetId="1">'Pago Cuota MC 2025'!$C$3:$R$182</definedName>
    <definedName name="_xlnm.Print_Area" localSheetId="6">'Recibo CM-JP'!$B$3:$K$20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8" i="11" l="1"/>
  <c r="Q175" i="11"/>
  <c r="J182" i="39"/>
  <c r="J181" i="39"/>
  <c r="J180" i="39"/>
  <c r="J179" i="39"/>
  <c r="J178" i="39"/>
  <c r="J177" i="39"/>
  <c r="J176" i="39"/>
  <c r="J175" i="39"/>
  <c r="J174" i="39"/>
  <c r="J173" i="39"/>
  <c r="J172" i="39"/>
  <c r="J171" i="39"/>
  <c r="J170" i="39"/>
  <c r="J169" i="39"/>
  <c r="J168" i="39"/>
  <c r="J167" i="39"/>
  <c r="J166" i="39"/>
  <c r="J165" i="39"/>
  <c r="J164" i="39"/>
  <c r="J163" i="39"/>
  <c r="J162" i="39"/>
  <c r="J161" i="39"/>
  <c r="J160" i="39"/>
  <c r="J159" i="39"/>
  <c r="J158" i="39"/>
  <c r="J157" i="39"/>
  <c r="J156" i="39"/>
  <c r="J155" i="39"/>
  <c r="J154" i="39"/>
  <c r="J153" i="39"/>
  <c r="J152" i="39"/>
  <c r="J151" i="39"/>
  <c r="J150" i="39"/>
  <c r="J149" i="39"/>
  <c r="J148" i="39"/>
  <c r="J147" i="39"/>
  <c r="J146" i="39"/>
  <c r="J145" i="39"/>
  <c r="J144" i="39"/>
  <c r="J143" i="39"/>
  <c r="J142" i="39"/>
  <c r="J141" i="39"/>
  <c r="J140" i="39"/>
  <c r="J139" i="39"/>
  <c r="J138" i="39"/>
  <c r="J137" i="39"/>
  <c r="J136" i="39"/>
  <c r="J135" i="39"/>
  <c r="J134" i="39"/>
  <c r="J133" i="39"/>
  <c r="J132" i="39"/>
  <c r="J131" i="39"/>
  <c r="J130" i="39"/>
  <c r="J129" i="39"/>
  <c r="J128" i="39"/>
  <c r="J127" i="39"/>
  <c r="J126" i="39"/>
  <c r="J125" i="39"/>
  <c r="J124" i="39"/>
  <c r="J123" i="39"/>
  <c r="J122" i="39"/>
  <c r="J121" i="39"/>
  <c r="J120" i="39"/>
  <c r="J119" i="39"/>
  <c r="J118" i="39"/>
  <c r="J117" i="39"/>
  <c r="J116" i="39"/>
  <c r="J115" i="39"/>
  <c r="J114" i="39"/>
  <c r="J113" i="39"/>
  <c r="J112" i="39"/>
  <c r="J111" i="39"/>
  <c r="J110" i="39"/>
  <c r="J109" i="39"/>
  <c r="J108" i="39"/>
  <c r="J107" i="39"/>
  <c r="J106" i="39"/>
  <c r="J105" i="39"/>
  <c r="J104" i="39"/>
  <c r="J103" i="39"/>
  <c r="J102" i="39"/>
  <c r="J101" i="39"/>
  <c r="J100" i="39"/>
  <c r="J99" i="39"/>
  <c r="J98" i="39"/>
  <c r="J97" i="39"/>
  <c r="J96" i="39"/>
  <c r="J95" i="39"/>
  <c r="J94" i="39"/>
  <c r="J93" i="39"/>
  <c r="J92" i="39"/>
  <c r="J91" i="39"/>
  <c r="J90" i="39"/>
  <c r="J89" i="39"/>
  <c r="J88" i="39"/>
  <c r="J87" i="39"/>
  <c r="J86" i="39"/>
  <c r="J85" i="39"/>
  <c r="J84" i="39"/>
  <c r="J83" i="39"/>
  <c r="J82" i="39"/>
  <c r="J81" i="39"/>
  <c r="J80" i="39"/>
  <c r="J79" i="39"/>
  <c r="J78" i="39"/>
  <c r="J77" i="39"/>
  <c r="J76" i="39"/>
  <c r="J75" i="39"/>
  <c r="J74" i="39"/>
  <c r="J73" i="39"/>
  <c r="J72" i="39"/>
  <c r="J71" i="39"/>
  <c r="J70" i="39"/>
  <c r="J69" i="39"/>
  <c r="J68" i="39"/>
  <c r="J67" i="39"/>
  <c r="J66" i="39"/>
  <c r="J65" i="39"/>
  <c r="J64" i="39"/>
  <c r="J63" i="39"/>
  <c r="J62" i="39"/>
  <c r="J61" i="39"/>
  <c r="J60" i="39"/>
  <c r="J59" i="39"/>
  <c r="J58" i="39"/>
  <c r="J57" i="39"/>
  <c r="J56" i="39"/>
  <c r="J55" i="39"/>
  <c r="J54" i="39"/>
  <c r="J53" i="39"/>
  <c r="J52" i="39"/>
  <c r="J51" i="39"/>
  <c r="J50" i="39"/>
  <c r="J49" i="39"/>
  <c r="J48" i="39"/>
  <c r="J47" i="39"/>
  <c r="J46" i="39"/>
  <c r="J45" i="39"/>
  <c r="J44" i="39"/>
  <c r="J43" i="39"/>
  <c r="J42" i="39"/>
  <c r="J41" i="39"/>
  <c r="J40" i="39"/>
  <c r="J39" i="39"/>
  <c r="J38" i="39"/>
  <c r="J37" i="39"/>
  <c r="J36" i="39"/>
  <c r="J35" i="39"/>
  <c r="J34" i="39"/>
  <c r="J33" i="39"/>
  <c r="J32" i="39"/>
  <c r="J31" i="39"/>
  <c r="J30" i="39"/>
  <c r="J29" i="39"/>
  <c r="J28" i="39"/>
  <c r="J27" i="39"/>
  <c r="J26" i="39"/>
  <c r="J25" i="39"/>
  <c r="J24" i="39"/>
  <c r="J23" i="39"/>
  <c r="J22" i="39"/>
  <c r="J21" i="39"/>
  <c r="J20" i="39"/>
  <c r="J19" i="39"/>
  <c r="J18" i="39"/>
  <c r="J17" i="39"/>
  <c r="J16" i="39"/>
  <c r="J15" i="39"/>
  <c r="J14" i="39"/>
  <c r="J13" i="39"/>
  <c r="J12" i="39"/>
  <c r="J11" i="39"/>
  <c r="J10" i="39"/>
  <c r="J9" i="39"/>
  <c r="J8" i="39"/>
  <c r="J7" i="39"/>
  <c r="J6" i="39"/>
  <c r="J5" i="39"/>
  <c r="J4" i="39"/>
  <c r="J3" i="39"/>
  <c r="V46" i="7"/>
  <c r="AP10" i="4"/>
  <c r="AP14" i="4"/>
  <c r="AP15" i="4"/>
  <c r="AP17" i="4"/>
  <c r="AP18" i="4"/>
  <c r="AP22" i="4"/>
  <c r="AP27" i="4"/>
  <c r="AP29" i="4"/>
  <c r="AP30" i="4"/>
  <c r="AP31" i="4"/>
  <c r="AP32" i="4"/>
  <c r="AP33" i="4"/>
  <c r="AP34" i="4"/>
  <c r="AP38" i="4"/>
  <c r="AP41" i="4"/>
  <c r="AP42" i="4"/>
  <c r="AP43" i="4"/>
  <c r="AP44" i="4"/>
  <c r="AP49" i="4"/>
  <c r="AP51" i="4"/>
  <c r="AP55" i="4"/>
  <c r="AP56" i="4"/>
  <c r="AP59" i="4"/>
  <c r="AP60" i="4"/>
  <c r="AP68" i="4"/>
  <c r="AP74" i="4"/>
  <c r="AP77" i="4"/>
  <c r="AP79" i="4"/>
  <c r="AP88" i="4"/>
  <c r="AP89" i="4"/>
  <c r="AP91" i="4"/>
  <c r="AP93" i="4"/>
  <c r="AP94" i="4"/>
  <c r="AP96" i="4"/>
  <c r="AP104" i="4"/>
  <c r="AP106" i="4"/>
  <c r="AP108" i="4"/>
  <c r="AP113" i="4"/>
  <c r="AP115" i="4"/>
  <c r="AP117" i="4"/>
  <c r="AP118" i="4"/>
  <c r="AP120" i="4"/>
  <c r="AP121" i="4"/>
  <c r="AP124" i="4"/>
  <c r="AP125" i="4"/>
  <c r="AP127" i="4"/>
  <c r="AP128" i="4"/>
  <c r="AP129" i="4"/>
  <c r="AP132" i="4"/>
  <c r="AP134" i="4"/>
  <c r="AP136" i="4"/>
  <c r="AP140" i="4"/>
  <c r="AP143" i="4"/>
  <c r="AP144" i="4"/>
  <c r="AP145" i="4"/>
  <c r="AP146" i="4"/>
  <c r="AP149" i="4"/>
  <c r="AP151" i="4"/>
  <c r="AP155" i="4"/>
  <c r="AP156" i="4"/>
  <c r="AP160" i="4"/>
  <c r="AP161" i="4"/>
  <c r="AP164" i="4"/>
  <c r="AP165" i="4"/>
  <c r="AP166" i="4"/>
  <c r="AP167" i="4"/>
  <c r="AP169" i="4"/>
  <c r="AP170" i="4"/>
  <c r="AP171" i="4"/>
  <c r="AP172" i="4"/>
  <c r="AP173" i="4"/>
  <c r="AP174" i="4"/>
  <c r="AP179" i="4"/>
  <c r="AP181" i="4"/>
  <c r="AP182" i="4"/>
  <c r="AP183" i="4"/>
  <c r="AP184" i="4"/>
  <c r="AP185" i="4"/>
  <c r="Q128" i="11"/>
  <c r="H11" i="11"/>
  <c r="F45" i="51" l="1"/>
  <c r="B20" i="16"/>
  <c r="E4" i="7"/>
  <c r="Q104" i="11"/>
  <c r="Q51" i="11"/>
  <c r="Q160" i="11"/>
  <c r="B20" i="14"/>
  <c r="H1" i="50" l="1"/>
  <c r="H5" i="50" s="1"/>
  <c r="G1" i="50"/>
  <c r="F144" i="51"/>
  <c r="F117" i="51"/>
  <c r="F106" i="51"/>
  <c r="F113" i="51"/>
  <c r="P86" i="11"/>
  <c r="F159" i="51"/>
  <c r="F154" i="51"/>
  <c r="F124" i="51"/>
  <c r="F123" i="51"/>
  <c r="F121" i="51"/>
  <c r="F116" i="51"/>
  <c r="F107" i="51"/>
  <c r="F105" i="51"/>
  <c r="F92" i="51"/>
  <c r="F43" i="51"/>
  <c r="F90" i="51"/>
  <c r="F182" i="51"/>
  <c r="F181" i="51"/>
  <c r="F180" i="51"/>
  <c r="F179" i="51"/>
  <c r="F178" i="51"/>
  <c r="F177" i="51"/>
  <c r="F176" i="51"/>
  <c r="F175" i="51"/>
  <c r="F174" i="51"/>
  <c r="F173" i="51"/>
  <c r="F172" i="51"/>
  <c r="F171" i="51"/>
  <c r="F170" i="51"/>
  <c r="F169" i="51"/>
  <c r="F168" i="51"/>
  <c r="F167" i="51"/>
  <c r="F166" i="51"/>
  <c r="F165" i="51"/>
  <c r="F164" i="51"/>
  <c r="F163" i="51"/>
  <c r="F162" i="51"/>
  <c r="F161" i="51"/>
  <c r="F160" i="51"/>
  <c r="F158" i="51"/>
  <c r="F157" i="51"/>
  <c r="F156" i="51"/>
  <c r="F155" i="51"/>
  <c r="F153" i="51"/>
  <c r="F152" i="51"/>
  <c r="F151" i="51"/>
  <c r="F150" i="51"/>
  <c r="F149" i="51"/>
  <c r="F148" i="51"/>
  <c r="F147" i="51"/>
  <c r="F146" i="51"/>
  <c r="F145" i="51"/>
  <c r="F143" i="51"/>
  <c r="F142" i="51"/>
  <c r="F141" i="51"/>
  <c r="F140" i="51"/>
  <c r="F139" i="51"/>
  <c r="F138" i="51"/>
  <c r="F137" i="51"/>
  <c r="F136" i="51"/>
  <c r="F135" i="51"/>
  <c r="F134" i="51"/>
  <c r="F133" i="51"/>
  <c r="F132" i="51"/>
  <c r="F131" i="51"/>
  <c r="F130" i="51"/>
  <c r="F129" i="51"/>
  <c r="F128" i="51"/>
  <c r="F127" i="51"/>
  <c r="F126" i="51"/>
  <c r="F125" i="51"/>
  <c r="F122" i="51"/>
  <c r="F120" i="51"/>
  <c r="F119" i="51"/>
  <c r="F118" i="51"/>
  <c r="F115" i="51"/>
  <c r="F114" i="51"/>
  <c r="F112" i="51"/>
  <c r="F111" i="51"/>
  <c r="F110" i="51"/>
  <c r="F109" i="51"/>
  <c r="F108" i="51"/>
  <c r="F104" i="51"/>
  <c r="F103" i="51"/>
  <c r="F102" i="51"/>
  <c r="F101" i="51"/>
  <c r="F100" i="51"/>
  <c r="F99" i="51"/>
  <c r="F98" i="51"/>
  <c r="F97" i="51"/>
  <c r="F96" i="51"/>
  <c r="F95" i="51"/>
  <c r="F94" i="51"/>
  <c r="F93" i="51"/>
  <c r="F91" i="51"/>
  <c r="F89" i="51"/>
  <c r="F88" i="51"/>
  <c r="F87" i="51"/>
  <c r="F86" i="51"/>
  <c r="F85" i="51"/>
  <c r="F84" i="51"/>
  <c r="F83" i="51"/>
  <c r="F82" i="51"/>
  <c r="F81" i="51"/>
  <c r="F80" i="51"/>
  <c r="F79" i="51"/>
  <c r="F78" i="51"/>
  <c r="F77" i="51"/>
  <c r="F76" i="51"/>
  <c r="F75" i="51"/>
  <c r="F74" i="51"/>
  <c r="F73" i="51"/>
  <c r="F72" i="51"/>
  <c r="F71" i="51"/>
  <c r="F70" i="51"/>
  <c r="F69" i="51"/>
  <c r="F68" i="51"/>
  <c r="F67" i="51"/>
  <c r="F66" i="51"/>
  <c r="F65" i="51"/>
  <c r="F64" i="51"/>
  <c r="F63" i="51"/>
  <c r="F62" i="51"/>
  <c r="F61" i="51"/>
  <c r="F60" i="51"/>
  <c r="F59" i="51"/>
  <c r="F58" i="51"/>
  <c r="F57" i="51"/>
  <c r="F56" i="51"/>
  <c r="F55" i="51"/>
  <c r="F54" i="51"/>
  <c r="F53" i="51"/>
  <c r="F52" i="51"/>
  <c r="F51" i="51"/>
  <c r="F50" i="51"/>
  <c r="F49" i="51"/>
  <c r="F48" i="51"/>
  <c r="F47" i="51"/>
  <c r="F46" i="51"/>
  <c r="F44" i="51"/>
  <c r="F42" i="51"/>
  <c r="F41" i="51"/>
  <c r="F40" i="51"/>
  <c r="F39" i="51"/>
  <c r="F38" i="51"/>
  <c r="F37" i="51"/>
  <c r="F36" i="51"/>
  <c r="F35" i="51"/>
  <c r="F34" i="51"/>
  <c r="F33" i="51"/>
  <c r="F32" i="51"/>
  <c r="F31" i="51"/>
  <c r="F30" i="51"/>
  <c r="F29" i="51"/>
  <c r="F28" i="51"/>
  <c r="F27" i="51"/>
  <c r="F26" i="51"/>
  <c r="F25" i="51"/>
  <c r="F24" i="51"/>
  <c r="F23" i="51"/>
  <c r="F22" i="51"/>
  <c r="F21" i="51"/>
  <c r="F20" i="51"/>
  <c r="F19" i="51"/>
  <c r="F18" i="51"/>
  <c r="F17" i="51"/>
  <c r="F16" i="51"/>
  <c r="F15" i="51"/>
  <c r="F14" i="51"/>
  <c r="F13" i="51"/>
  <c r="F12" i="51"/>
  <c r="F11" i="51"/>
  <c r="F10" i="51"/>
  <c r="F9" i="51"/>
  <c r="F8" i="51"/>
  <c r="F7" i="51"/>
  <c r="F6" i="51"/>
  <c r="F5" i="51"/>
  <c r="F4" i="51"/>
  <c r="F3" i="51"/>
  <c r="P29" i="11"/>
  <c r="J168" i="11"/>
  <c r="P125" i="11"/>
  <c r="P154" i="11"/>
  <c r="I192" i="50" l="1" a="1"/>
  <c r="I192" i="50"/>
  <c r="F182" i="50"/>
  <c r="F183" i="50"/>
  <c r="F106" i="50" l="1"/>
  <c r="F99" i="50"/>
  <c r="F12" i="50"/>
  <c r="F181" i="50"/>
  <c r="F180" i="50"/>
  <c r="F179" i="50"/>
  <c r="F178" i="50"/>
  <c r="F177" i="50"/>
  <c r="F176" i="50"/>
  <c r="F175" i="50"/>
  <c r="F174" i="50"/>
  <c r="F173" i="50"/>
  <c r="F172" i="50"/>
  <c r="F171" i="50"/>
  <c r="F170" i="50"/>
  <c r="F169" i="50"/>
  <c r="F168" i="50"/>
  <c r="F167" i="50"/>
  <c r="F166" i="50"/>
  <c r="F165" i="50"/>
  <c r="F164" i="50"/>
  <c r="F163" i="50"/>
  <c r="F162" i="50"/>
  <c r="F161" i="50"/>
  <c r="F160" i="50"/>
  <c r="F159" i="50"/>
  <c r="F158" i="50"/>
  <c r="F157" i="50"/>
  <c r="F156" i="50"/>
  <c r="F155" i="50"/>
  <c r="F154" i="50"/>
  <c r="F153" i="50"/>
  <c r="F152" i="50"/>
  <c r="F151" i="50"/>
  <c r="F150" i="50"/>
  <c r="F149" i="50"/>
  <c r="F148" i="50"/>
  <c r="F147" i="50"/>
  <c r="F146" i="50"/>
  <c r="F145" i="50"/>
  <c r="F144" i="50"/>
  <c r="F143" i="50"/>
  <c r="F142" i="50"/>
  <c r="F141" i="50"/>
  <c r="F140" i="50"/>
  <c r="F139" i="50"/>
  <c r="F138" i="50"/>
  <c r="F137" i="50"/>
  <c r="F136" i="50"/>
  <c r="F135" i="50"/>
  <c r="F134" i="50"/>
  <c r="F133" i="50"/>
  <c r="F132" i="50"/>
  <c r="F131" i="50"/>
  <c r="F130" i="50"/>
  <c r="F129" i="50"/>
  <c r="F128" i="50"/>
  <c r="F127" i="50"/>
  <c r="F126" i="50"/>
  <c r="F125" i="50"/>
  <c r="F124" i="50"/>
  <c r="F123" i="50"/>
  <c r="F122" i="50"/>
  <c r="F121" i="50"/>
  <c r="F120" i="50"/>
  <c r="F119" i="50"/>
  <c r="F118" i="50"/>
  <c r="F117" i="50"/>
  <c r="F116" i="50"/>
  <c r="F115" i="50"/>
  <c r="F114" i="50"/>
  <c r="F113" i="50"/>
  <c r="F112" i="50"/>
  <c r="F111" i="50"/>
  <c r="F110" i="50"/>
  <c r="F109" i="50"/>
  <c r="F108" i="50"/>
  <c r="F107" i="50"/>
  <c r="F105" i="50"/>
  <c r="F104" i="50"/>
  <c r="F103" i="50"/>
  <c r="F102" i="50"/>
  <c r="F101" i="50"/>
  <c r="F100" i="50"/>
  <c r="F98" i="50"/>
  <c r="F97" i="50"/>
  <c r="F96" i="50"/>
  <c r="F95" i="50"/>
  <c r="F94" i="50"/>
  <c r="F93" i="50"/>
  <c r="F92" i="50"/>
  <c r="F91" i="50"/>
  <c r="F90" i="50"/>
  <c r="F89" i="50"/>
  <c r="F88" i="50"/>
  <c r="F87" i="50"/>
  <c r="F86" i="50"/>
  <c r="F85" i="50"/>
  <c r="F84" i="50"/>
  <c r="F83" i="50"/>
  <c r="F82" i="50"/>
  <c r="F81" i="50"/>
  <c r="F80" i="50"/>
  <c r="F79" i="50"/>
  <c r="F78" i="50"/>
  <c r="F77" i="50"/>
  <c r="F76" i="50"/>
  <c r="F75" i="50"/>
  <c r="F74" i="50"/>
  <c r="F73" i="50"/>
  <c r="F72" i="50"/>
  <c r="F71" i="50"/>
  <c r="F70" i="50"/>
  <c r="F69" i="50"/>
  <c r="F68" i="50"/>
  <c r="F67" i="50"/>
  <c r="F66" i="50"/>
  <c r="F65" i="50"/>
  <c r="F64" i="50"/>
  <c r="F63" i="50"/>
  <c r="F62" i="50"/>
  <c r="F61" i="50"/>
  <c r="F60" i="50"/>
  <c r="F59" i="50"/>
  <c r="F58" i="50"/>
  <c r="F57" i="50"/>
  <c r="F56" i="50"/>
  <c r="F55" i="50"/>
  <c r="F54" i="50"/>
  <c r="F53" i="50"/>
  <c r="F52" i="50"/>
  <c r="F51" i="50"/>
  <c r="F50" i="50"/>
  <c r="F49" i="50"/>
  <c r="F48" i="50"/>
  <c r="F47" i="50"/>
  <c r="F46" i="50"/>
  <c r="F45" i="50"/>
  <c r="F44" i="50"/>
  <c r="F43" i="50"/>
  <c r="F42" i="50"/>
  <c r="F41" i="50"/>
  <c r="F40" i="50"/>
  <c r="F39" i="50"/>
  <c r="F38" i="50"/>
  <c r="F37" i="50"/>
  <c r="F36" i="50"/>
  <c r="F35" i="50"/>
  <c r="F34" i="50"/>
  <c r="F33" i="50"/>
  <c r="F32" i="50"/>
  <c r="F31" i="50"/>
  <c r="F30" i="50"/>
  <c r="F29" i="50"/>
  <c r="F28" i="50"/>
  <c r="F27" i="50"/>
  <c r="F26" i="50"/>
  <c r="F25" i="50"/>
  <c r="F24" i="50"/>
  <c r="F23" i="50"/>
  <c r="F22" i="50"/>
  <c r="F21" i="50"/>
  <c r="F20" i="50"/>
  <c r="F19" i="50"/>
  <c r="F18" i="50"/>
  <c r="F17" i="50"/>
  <c r="F16" i="50"/>
  <c r="F15" i="50"/>
  <c r="F14" i="50"/>
  <c r="F13" i="50"/>
  <c r="F11" i="50"/>
  <c r="F10" i="50"/>
  <c r="F9" i="50"/>
  <c r="F8" i="50"/>
  <c r="F7" i="50"/>
  <c r="F6" i="50"/>
  <c r="F5" i="50"/>
  <c r="F4" i="50"/>
  <c r="F3" i="50"/>
  <c r="I168" i="11" l="1"/>
  <c r="O29" i="11"/>
  <c r="O154" i="11"/>
  <c r="E5" i="7"/>
  <c r="G188" i="49"/>
  <c r="I192" i="49" a="1"/>
  <c r="I192" i="49" s="1"/>
  <c r="G16" i="48" l="1"/>
  <c r="E190" i="49"/>
  <c r="H182" i="47"/>
  <c r="F183" i="49"/>
  <c r="I1" i="47"/>
  <c r="H1" i="47"/>
  <c r="B20" i="13" l="1"/>
  <c r="I18" i="53"/>
  <c r="B20" i="17"/>
  <c r="B20" i="18"/>
  <c r="H168" i="11"/>
  <c r="N154" i="11"/>
  <c r="E1" i="55"/>
  <c r="E3" i="55" s="1" a="1"/>
  <c r="E3" i="55" s="1"/>
  <c r="F186" i="55"/>
  <c r="F185" i="55"/>
  <c r="F183" i="55"/>
  <c r="J151" i="48"/>
  <c r="J150" i="48"/>
  <c r="B21" i="17"/>
  <c r="E150" i="55" l="1" a="1"/>
  <c r="E150" i="55" s="1"/>
  <c r="E86" i="55" a="1"/>
  <c r="E86" i="55" s="1"/>
  <c r="E19" i="55" a="1"/>
  <c r="E19" i="55" s="1"/>
  <c r="E11" i="55" a="1"/>
  <c r="E11" i="55" s="1"/>
  <c r="E4" i="55" a="1"/>
  <c r="E4" i="55" s="1"/>
  <c r="E137" i="55" a="1"/>
  <c r="E137" i="55" s="1"/>
  <c r="E73" i="55" a="1"/>
  <c r="E73" i="55" s="1"/>
  <c r="E18" i="55" a="1"/>
  <c r="E18" i="55" s="1"/>
  <c r="E10" i="55" a="1"/>
  <c r="E10" i="55" s="1"/>
  <c r="E131" i="55" a="1"/>
  <c r="E131" i="55" s="1"/>
  <c r="E9" i="55" a="1"/>
  <c r="E9" i="55" s="1"/>
  <c r="E124" i="55" a="1"/>
  <c r="E124" i="55" s="1"/>
  <c r="E8" i="55" a="1"/>
  <c r="E8" i="55" s="1"/>
  <c r="E182" i="55" a="1"/>
  <c r="E182" i="55" s="1"/>
  <c r="E118" i="55" a="1"/>
  <c r="E118" i="55" s="1"/>
  <c r="E28" i="55" a="1"/>
  <c r="E28" i="55" s="1"/>
  <c r="E15" i="55" a="1"/>
  <c r="E15" i="55" s="1"/>
  <c r="E7" i="55" a="1"/>
  <c r="E7" i="55" s="1"/>
  <c r="E67" i="55" a="1"/>
  <c r="E67" i="55" s="1"/>
  <c r="E17" i="55" a="1"/>
  <c r="E17" i="55" s="1"/>
  <c r="E35" i="55" a="1"/>
  <c r="E35" i="55" s="1"/>
  <c r="E16" i="55" a="1"/>
  <c r="E16" i="55" s="1"/>
  <c r="E169" i="55" a="1"/>
  <c r="E169" i="55" s="1"/>
  <c r="E105" i="55" a="1"/>
  <c r="E105" i="55" s="1"/>
  <c r="E22" i="55" a="1"/>
  <c r="E22" i="55" s="1"/>
  <c r="E14" i="55" a="1"/>
  <c r="E14" i="55" s="1"/>
  <c r="E6" i="55" a="1"/>
  <c r="E6" i="55" s="1"/>
  <c r="E5" i="55" a="1"/>
  <c r="E5" i="55" s="1"/>
  <c r="E163" i="55" a="1"/>
  <c r="E163" i="55" s="1"/>
  <c r="E99" i="55" a="1"/>
  <c r="E99" i="55" s="1"/>
  <c r="E21" i="55" a="1"/>
  <c r="E21" i="55" s="1"/>
  <c r="E13" i="55" a="1"/>
  <c r="E13" i="55" s="1"/>
  <c r="E156" i="55" a="1"/>
  <c r="E156" i="55" s="1"/>
  <c r="E92" i="55" a="1"/>
  <c r="E92" i="55" s="1"/>
  <c r="E20" i="55" a="1"/>
  <c r="E20" i="55" s="1"/>
  <c r="E12" i="55" a="1"/>
  <c r="E12" i="55" s="1"/>
  <c r="E175" i="55" a="1"/>
  <c r="E175" i="55" s="1"/>
  <c r="E162" i="55" a="1"/>
  <c r="E162" i="55" s="1"/>
  <c r="E149" i="55" a="1"/>
  <c r="E149" i="55" s="1"/>
  <c r="E136" i="55" a="1"/>
  <c r="E136" i="55" s="1"/>
  <c r="E117" i="55" a="1"/>
  <c r="E117" i="55" s="1"/>
  <c r="E104" i="55" a="1"/>
  <c r="E104" i="55" s="1"/>
  <c r="E98" i="55" a="1"/>
  <c r="E98" i="55" s="1"/>
  <c r="E85" i="55" a="1"/>
  <c r="E85" i="55" s="1"/>
  <c r="E79" i="55" a="1"/>
  <c r="E79" i="55" s="1"/>
  <c r="E72" i="55" a="1"/>
  <c r="E72" i="55" s="1"/>
  <c r="E66" i="55" a="1"/>
  <c r="E66" i="55" s="1"/>
  <c r="E53" i="55" a="1"/>
  <c r="E53" i="55" s="1"/>
  <c r="E47" i="55" a="1"/>
  <c r="E47" i="55" s="1"/>
  <c r="E40" i="55" a="1"/>
  <c r="E40" i="55" s="1"/>
  <c r="E34" i="55" a="1"/>
  <c r="E34" i="55" s="1"/>
  <c r="E60" i="55" a="1"/>
  <c r="E60" i="55" s="1"/>
  <c r="E41" i="55" a="1"/>
  <c r="E41" i="55" s="1"/>
  <c r="E181" i="55" a="1"/>
  <c r="E181" i="55" s="1"/>
  <c r="E168" i="55" a="1"/>
  <c r="E168" i="55" s="1"/>
  <c r="E143" i="55" a="1"/>
  <c r="E143" i="55" s="1"/>
  <c r="E130" i="55" a="1"/>
  <c r="E130" i="55" s="1"/>
  <c r="E111" i="55" a="1"/>
  <c r="E111" i="55" s="1"/>
  <c r="E180" i="55" a="1"/>
  <c r="E180" i="55" s="1"/>
  <c r="E174" i="55" a="1"/>
  <c r="E174" i="55" s="1"/>
  <c r="E161" i="55" a="1"/>
  <c r="E161" i="55" s="1"/>
  <c r="E155" i="55" a="1"/>
  <c r="E155" i="55" s="1"/>
  <c r="E148" i="55" a="1"/>
  <c r="E148" i="55" s="1"/>
  <c r="E142" i="55" a="1"/>
  <c r="E142" i="55" s="1"/>
  <c r="E129" i="55" a="1"/>
  <c r="E129" i="55" s="1"/>
  <c r="E123" i="55" a="1"/>
  <c r="E123" i="55" s="1"/>
  <c r="E116" i="55" a="1"/>
  <c r="E116" i="55" s="1"/>
  <c r="E110" i="55" a="1"/>
  <c r="E110" i="55" s="1"/>
  <c r="E97" i="55" a="1"/>
  <c r="E97" i="55" s="1"/>
  <c r="E91" i="55" a="1"/>
  <c r="E91" i="55" s="1"/>
  <c r="E84" i="55" a="1"/>
  <c r="E84" i="55" s="1"/>
  <c r="E78" i="55" a="1"/>
  <c r="E78" i="55" s="1"/>
  <c r="E65" i="55" a="1"/>
  <c r="E65" i="55" s="1"/>
  <c r="E59" i="55" a="1"/>
  <c r="E59" i="55" s="1"/>
  <c r="E52" i="55" a="1"/>
  <c r="E52" i="55" s="1"/>
  <c r="E46" i="55" a="1"/>
  <c r="E46" i="55" s="1"/>
  <c r="E33" i="55" a="1"/>
  <c r="E33" i="55" s="1"/>
  <c r="E27" i="55" a="1"/>
  <c r="E27" i="55" s="1"/>
  <c r="E54" i="55" a="1"/>
  <c r="E54" i="55" s="1"/>
  <c r="E173" i="55" a="1"/>
  <c r="E173" i="55" s="1"/>
  <c r="E167" i="55" a="1"/>
  <c r="E167" i="55" s="1"/>
  <c r="E160" i="55" a="1"/>
  <c r="E160" i="55" s="1"/>
  <c r="E154" i="55" a="1"/>
  <c r="E154" i="55" s="1"/>
  <c r="E141" i="55" a="1"/>
  <c r="E141" i="55" s="1"/>
  <c r="E135" i="55" a="1"/>
  <c r="E135" i="55" s="1"/>
  <c r="E128" i="55" a="1"/>
  <c r="E128" i="55" s="1"/>
  <c r="E122" i="55" a="1"/>
  <c r="E122" i="55" s="1"/>
  <c r="E109" i="55" a="1"/>
  <c r="E109" i="55" s="1"/>
  <c r="E103" i="55" a="1"/>
  <c r="E103" i="55" s="1"/>
  <c r="E96" i="55" a="1"/>
  <c r="E96" i="55" s="1"/>
  <c r="E90" i="55" a="1"/>
  <c r="E90" i="55" s="1"/>
  <c r="E77" i="55" a="1"/>
  <c r="E77" i="55" s="1"/>
  <c r="E71" i="55" a="1"/>
  <c r="E71" i="55" s="1"/>
  <c r="E64" i="55" a="1"/>
  <c r="E64" i="55" s="1"/>
  <c r="E58" i="55" a="1"/>
  <c r="E58" i="55" s="1"/>
  <c r="E45" i="55" a="1"/>
  <c r="E45" i="55" s="1"/>
  <c r="E39" i="55" a="1"/>
  <c r="E39" i="55" s="1"/>
  <c r="E32" i="55" a="1"/>
  <c r="E32" i="55" s="1"/>
  <c r="E26" i="55" a="1"/>
  <c r="E26" i="55" s="1"/>
  <c r="E179" i="55" a="1"/>
  <c r="E179" i="55" s="1"/>
  <c r="E172" i="55" a="1"/>
  <c r="E172" i="55" s="1"/>
  <c r="E166" i="55" a="1"/>
  <c r="E166" i="55" s="1"/>
  <c r="E153" i="55" a="1"/>
  <c r="E153" i="55" s="1"/>
  <c r="E147" i="55" a="1"/>
  <c r="E147" i="55" s="1"/>
  <c r="E140" i="55" a="1"/>
  <c r="E140" i="55" s="1"/>
  <c r="E134" i="55" a="1"/>
  <c r="E134" i="55" s="1"/>
  <c r="E121" i="55" a="1"/>
  <c r="E121" i="55" s="1"/>
  <c r="E115" i="55" a="1"/>
  <c r="E115" i="55" s="1"/>
  <c r="E108" i="55" a="1"/>
  <c r="E108" i="55" s="1"/>
  <c r="E102" i="55" a="1"/>
  <c r="E102" i="55" s="1"/>
  <c r="E89" i="55" a="1"/>
  <c r="E89" i="55" s="1"/>
  <c r="E83" i="55" a="1"/>
  <c r="E83" i="55" s="1"/>
  <c r="E76" i="55" a="1"/>
  <c r="E76" i="55" s="1"/>
  <c r="E70" i="55" a="1"/>
  <c r="E70" i="55" s="1"/>
  <c r="E57" i="55" a="1"/>
  <c r="E57" i="55" s="1"/>
  <c r="E51" i="55" a="1"/>
  <c r="E51" i="55" s="1"/>
  <c r="E44" i="55" a="1"/>
  <c r="E44" i="55" s="1"/>
  <c r="E38" i="55" a="1"/>
  <c r="E38" i="55" s="1"/>
  <c r="E25" i="55" a="1"/>
  <c r="E25" i="55" s="1"/>
  <c r="E178" i="55" a="1"/>
  <c r="E178" i="55" s="1"/>
  <c r="E165" i="55" a="1"/>
  <c r="E165" i="55" s="1"/>
  <c r="E159" i="55" a="1"/>
  <c r="E159" i="55" s="1"/>
  <c r="E152" i="55" a="1"/>
  <c r="E152" i="55" s="1"/>
  <c r="E146" i="55" a="1"/>
  <c r="E146" i="55" s="1"/>
  <c r="E133" i="55" a="1"/>
  <c r="E133" i="55" s="1"/>
  <c r="E127" i="55" a="1"/>
  <c r="E127" i="55" s="1"/>
  <c r="E120" i="55" a="1"/>
  <c r="E120" i="55" s="1"/>
  <c r="E114" i="55" a="1"/>
  <c r="E114" i="55" s="1"/>
  <c r="E101" i="55" a="1"/>
  <c r="E101" i="55" s="1"/>
  <c r="E95" i="55" a="1"/>
  <c r="E95" i="55" s="1"/>
  <c r="E88" i="55" a="1"/>
  <c r="E88" i="55" s="1"/>
  <c r="E82" i="55" a="1"/>
  <c r="E82" i="55" s="1"/>
  <c r="E69" i="55" a="1"/>
  <c r="E69" i="55" s="1"/>
  <c r="E63" i="55" a="1"/>
  <c r="E63" i="55" s="1"/>
  <c r="E56" i="55" a="1"/>
  <c r="E56" i="55" s="1"/>
  <c r="E50" i="55" a="1"/>
  <c r="E50" i="55" s="1"/>
  <c r="E37" i="55" a="1"/>
  <c r="E37" i="55" s="1"/>
  <c r="E31" i="55" a="1"/>
  <c r="E31" i="55" s="1"/>
  <c r="E24" i="55" a="1"/>
  <c r="E24" i="55" s="1"/>
  <c r="E177" i="55" a="1"/>
  <c r="E177" i="55" s="1"/>
  <c r="E171" i="55" a="1"/>
  <c r="E171" i="55" s="1"/>
  <c r="E164" i="55" a="1"/>
  <c r="E164" i="55" s="1"/>
  <c r="E158" i="55" a="1"/>
  <c r="E158" i="55" s="1"/>
  <c r="E145" i="55" a="1"/>
  <c r="E145" i="55" s="1"/>
  <c r="E139" i="55" a="1"/>
  <c r="E139" i="55" s="1"/>
  <c r="E132" i="55" a="1"/>
  <c r="E132" i="55" s="1"/>
  <c r="E126" i="55" a="1"/>
  <c r="E126" i="55" s="1"/>
  <c r="E113" i="55" a="1"/>
  <c r="E113" i="55" s="1"/>
  <c r="E107" i="55" a="1"/>
  <c r="E107" i="55" s="1"/>
  <c r="E100" i="55" a="1"/>
  <c r="E100" i="55" s="1"/>
  <c r="E94" i="55" a="1"/>
  <c r="E94" i="55" s="1"/>
  <c r="E81" i="55" a="1"/>
  <c r="E81" i="55" s="1"/>
  <c r="E75" i="55" a="1"/>
  <c r="E75" i="55" s="1"/>
  <c r="E68" i="55" a="1"/>
  <c r="E68" i="55" s="1"/>
  <c r="E62" i="55" a="1"/>
  <c r="E62" i="55" s="1"/>
  <c r="E49" i="55" a="1"/>
  <c r="E49" i="55" s="1"/>
  <c r="E43" i="55" a="1"/>
  <c r="E43" i="55" s="1"/>
  <c r="E36" i="55" a="1"/>
  <c r="E36" i="55" s="1"/>
  <c r="E30" i="55" a="1"/>
  <c r="E30" i="55" s="1"/>
  <c r="E176" i="55" a="1"/>
  <c r="E176" i="55" s="1"/>
  <c r="E170" i="55" a="1"/>
  <c r="E170" i="55" s="1"/>
  <c r="E157" i="55" a="1"/>
  <c r="E157" i="55" s="1"/>
  <c r="E151" i="55" a="1"/>
  <c r="E151" i="55" s="1"/>
  <c r="E144" i="55" a="1"/>
  <c r="E144" i="55" s="1"/>
  <c r="E138" i="55" a="1"/>
  <c r="E138" i="55" s="1"/>
  <c r="E125" i="55" a="1"/>
  <c r="E125" i="55" s="1"/>
  <c r="E119" i="55" a="1"/>
  <c r="E119" i="55" s="1"/>
  <c r="E112" i="55" a="1"/>
  <c r="E112" i="55" s="1"/>
  <c r="E106" i="55" a="1"/>
  <c r="E106" i="55" s="1"/>
  <c r="E93" i="55" a="1"/>
  <c r="E93" i="55" s="1"/>
  <c r="E87" i="55" a="1"/>
  <c r="E87" i="55" s="1"/>
  <c r="E80" i="55" a="1"/>
  <c r="E80" i="55" s="1"/>
  <c r="E74" i="55" a="1"/>
  <c r="E74" i="55" s="1"/>
  <c r="E61" i="55" a="1"/>
  <c r="E61" i="55" s="1"/>
  <c r="E55" i="55" a="1"/>
  <c r="E55" i="55" s="1"/>
  <c r="E48" i="55" a="1"/>
  <c r="E48" i="55" s="1"/>
  <c r="E42" i="55" a="1"/>
  <c r="E42" i="55" s="1"/>
  <c r="E29" i="55" a="1"/>
  <c r="E29" i="55" s="1"/>
  <c r="E23" i="55" a="1"/>
  <c r="E23" i="55" s="1"/>
  <c r="M18" i="11"/>
  <c r="E183" i="55" l="1"/>
  <c r="E186" i="55" s="1"/>
  <c r="E185" i="55"/>
  <c r="F182" i="48"/>
  <c r="F181" i="48"/>
  <c r="F180" i="48"/>
  <c r="F179" i="48"/>
  <c r="F178" i="48"/>
  <c r="F177" i="48"/>
  <c r="F176" i="48"/>
  <c r="F175" i="48"/>
  <c r="F174" i="48"/>
  <c r="F173" i="48"/>
  <c r="F172" i="48"/>
  <c r="F171" i="48"/>
  <c r="F170" i="48"/>
  <c r="F169" i="48"/>
  <c r="F168" i="48"/>
  <c r="F167" i="48"/>
  <c r="F166" i="48"/>
  <c r="F165" i="48"/>
  <c r="F164" i="48"/>
  <c r="F163" i="48"/>
  <c r="F162" i="48"/>
  <c r="F161" i="48"/>
  <c r="F160" i="48"/>
  <c r="F159" i="48"/>
  <c r="F158" i="48"/>
  <c r="F157" i="48"/>
  <c r="F156" i="48"/>
  <c r="F155" i="48"/>
  <c r="F154" i="48"/>
  <c r="F153" i="48"/>
  <c r="F152" i="48"/>
  <c r="F151" i="48"/>
  <c r="F150" i="48"/>
  <c r="F149" i="48"/>
  <c r="F148" i="48"/>
  <c r="F147" i="48"/>
  <c r="F146" i="48"/>
  <c r="F145" i="48"/>
  <c r="F144" i="48"/>
  <c r="F143" i="48"/>
  <c r="F142" i="48"/>
  <c r="F141" i="48"/>
  <c r="F140" i="48"/>
  <c r="F139" i="48"/>
  <c r="F138" i="48"/>
  <c r="F137" i="48"/>
  <c r="F136" i="48"/>
  <c r="F135" i="48"/>
  <c r="F134" i="48"/>
  <c r="F133" i="48"/>
  <c r="F132" i="48"/>
  <c r="F131" i="48"/>
  <c r="F130" i="48"/>
  <c r="F129" i="48"/>
  <c r="F128" i="48"/>
  <c r="F127" i="48"/>
  <c r="F126" i="48"/>
  <c r="F125" i="48"/>
  <c r="F124" i="48"/>
  <c r="F123" i="48"/>
  <c r="F122" i="48"/>
  <c r="F121" i="48"/>
  <c r="F120" i="48"/>
  <c r="F119" i="48"/>
  <c r="F118" i="48"/>
  <c r="F117" i="48"/>
  <c r="F116" i="48"/>
  <c r="F115" i="48"/>
  <c r="F114" i="48"/>
  <c r="F113" i="48"/>
  <c r="F112" i="48"/>
  <c r="F111" i="48"/>
  <c r="F110" i="48"/>
  <c r="F109" i="48"/>
  <c r="F108" i="48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F95" i="48"/>
  <c r="F94" i="48"/>
  <c r="F93" i="48"/>
  <c r="F92" i="48"/>
  <c r="F91" i="48"/>
  <c r="F90" i="48"/>
  <c r="F89" i="48"/>
  <c r="F88" i="48"/>
  <c r="F87" i="48"/>
  <c r="F86" i="48"/>
  <c r="F85" i="48"/>
  <c r="F84" i="48"/>
  <c r="F83" i="48"/>
  <c r="F82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3" i="48"/>
  <c r="F62" i="48"/>
  <c r="F61" i="48"/>
  <c r="F60" i="48"/>
  <c r="F59" i="48"/>
  <c r="F58" i="48"/>
  <c r="F57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F44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F31" i="48"/>
  <c r="F30" i="48"/>
  <c r="F29" i="48"/>
  <c r="F28" i="48"/>
  <c r="F27" i="48"/>
  <c r="F26" i="48"/>
  <c r="F25" i="48"/>
  <c r="F24" i="48"/>
  <c r="F23" i="48"/>
  <c r="F22" i="48"/>
  <c r="F21" i="48"/>
  <c r="F20" i="48"/>
  <c r="F19" i="48"/>
  <c r="F18" i="48"/>
  <c r="F17" i="48"/>
  <c r="F16" i="48"/>
  <c r="F15" i="48"/>
  <c r="F14" i="48"/>
  <c r="F13" i="48"/>
  <c r="F12" i="48"/>
  <c r="F11" i="48"/>
  <c r="F10" i="48"/>
  <c r="F9" i="48"/>
  <c r="F8" i="48"/>
  <c r="F7" i="48"/>
  <c r="F6" i="48"/>
  <c r="F5" i="48"/>
  <c r="F4" i="48"/>
  <c r="F3" i="48"/>
  <c r="E188" i="55" l="1"/>
  <c r="L65" i="11"/>
  <c r="M20" i="11"/>
  <c r="M61" i="11"/>
  <c r="G168" i="11" l="1"/>
  <c r="M154" i="11"/>
  <c r="G93" i="11"/>
  <c r="I192" i="47" a="1"/>
  <c r="I192" i="47" s="1"/>
  <c r="L18" i="11"/>
  <c r="L61" i="11" l="1"/>
  <c r="F182" i="47"/>
  <c r="F181" i="47"/>
  <c r="F180" i="47"/>
  <c r="F179" i="47"/>
  <c r="F178" i="47"/>
  <c r="F177" i="47"/>
  <c r="F176" i="47"/>
  <c r="F175" i="47"/>
  <c r="F174" i="47"/>
  <c r="F173" i="47"/>
  <c r="F172" i="47"/>
  <c r="F171" i="47"/>
  <c r="F170" i="47"/>
  <c r="F169" i="47"/>
  <c r="F168" i="47"/>
  <c r="F167" i="47"/>
  <c r="F166" i="47"/>
  <c r="F165" i="47"/>
  <c r="F164" i="47"/>
  <c r="F163" i="47"/>
  <c r="F162" i="47"/>
  <c r="F161" i="47"/>
  <c r="F160" i="47"/>
  <c r="F159" i="47"/>
  <c r="F158" i="47"/>
  <c r="F157" i="47"/>
  <c r="F156" i="47"/>
  <c r="F155" i="47"/>
  <c r="F154" i="47"/>
  <c r="F153" i="47"/>
  <c r="F152" i="47"/>
  <c r="F151" i="47"/>
  <c r="F150" i="47"/>
  <c r="F149" i="47"/>
  <c r="F148" i="47"/>
  <c r="F147" i="47"/>
  <c r="F146" i="47"/>
  <c r="F145" i="47"/>
  <c r="F144" i="47"/>
  <c r="F143" i="47"/>
  <c r="F142" i="47"/>
  <c r="F141" i="47"/>
  <c r="F140" i="47"/>
  <c r="F139" i="47"/>
  <c r="F138" i="47"/>
  <c r="F137" i="47"/>
  <c r="F136" i="47"/>
  <c r="F135" i="47"/>
  <c r="F134" i="47"/>
  <c r="F133" i="47"/>
  <c r="F132" i="47"/>
  <c r="F131" i="47"/>
  <c r="F130" i="47"/>
  <c r="F129" i="47"/>
  <c r="F128" i="47"/>
  <c r="F127" i="47"/>
  <c r="F126" i="47"/>
  <c r="F125" i="47"/>
  <c r="F124" i="47"/>
  <c r="F123" i="47"/>
  <c r="F122" i="47"/>
  <c r="F121" i="47"/>
  <c r="F120" i="47"/>
  <c r="F119" i="47"/>
  <c r="F118" i="47"/>
  <c r="F117" i="47"/>
  <c r="F116" i="47"/>
  <c r="F115" i="47"/>
  <c r="F114" i="47"/>
  <c r="F113" i="47"/>
  <c r="F112" i="47"/>
  <c r="F111" i="47"/>
  <c r="F110" i="47"/>
  <c r="F109" i="47"/>
  <c r="F108" i="47"/>
  <c r="F107" i="47"/>
  <c r="F106" i="47"/>
  <c r="F105" i="47"/>
  <c r="F104" i="47"/>
  <c r="F103" i="47"/>
  <c r="F102" i="47"/>
  <c r="F101" i="47"/>
  <c r="F100" i="47"/>
  <c r="F99" i="47"/>
  <c r="F98" i="47"/>
  <c r="F97" i="47"/>
  <c r="F96" i="47"/>
  <c r="F95" i="47"/>
  <c r="F94" i="47"/>
  <c r="F93" i="47"/>
  <c r="F92" i="47"/>
  <c r="F91" i="47"/>
  <c r="F90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F77" i="47"/>
  <c r="F76" i="47"/>
  <c r="F75" i="47"/>
  <c r="F74" i="47"/>
  <c r="F73" i="47"/>
  <c r="F72" i="47"/>
  <c r="F71" i="47"/>
  <c r="F70" i="47"/>
  <c r="F69" i="47"/>
  <c r="F68" i="47"/>
  <c r="F67" i="47"/>
  <c r="F66" i="47"/>
  <c r="F65" i="47"/>
  <c r="F64" i="47"/>
  <c r="F63" i="47"/>
  <c r="F62" i="47"/>
  <c r="F61" i="47"/>
  <c r="F60" i="47"/>
  <c r="F59" i="47"/>
  <c r="F58" i="47"/>
  <c r="F57" i="47"/>
  <c r="F56" i="47"/>
  <c r="F55" i="47"/>
  <c r="F54" i="47"/>
  <c r="F53" i="47"/>
  <c r="F52" i="47"/>
  <c r="F51" i="47"/>
  <c r="F50" i="47"/>
  <c r="F49" i="47"/>
  <c r="F48" i="47"/>
  <c r="F47" i="47"/>
  <c r="F46" i="47"/>
  <c r="F45" i="47"/>
  <c r="F44" i="47"/>
  <c r="F43" i="47"/>
  <c r="F42" i="47"/>
  <c r="F41" i="47"/>
  <c r="F40" i="47"/>
  <c r="F39" i="47"/>
  <c r="F38" i="47"/>
  <c r="F37" i="47"/>
  <c r="F36" i="47"/>
  <c r="F35" i="47"/>
  <c r="F34" i="47"/>
  <c r="F33" i="47"/>
  <c r="F32" i="47"/>
  <c r="F31" i="47"/>
  <c r="F30" i="47"/>
  <c r="F29" i="47"/>
  <c r="F28" i="47"/>
  <c r="F27" i="47"/>
  <c r="F26" i="47"/>
  <c r="F25" i="47"/>
  <c r="F24" i="47"/>
  <c r="F23" i="47"/>
  <c r="F22" i="47"/>
  <c r="F21" i="47"/>
  <c r="F20" i="47"/>
  <c r="F19" i="47"/>
  <c r="F18" i="47"/>
  <c r="F17" i="47"/>
  <c r="F16" i="47"/>
  <c r="F15" i="47"/>
  <c r="F14" i="47"/>
  <c r="F13" i="47"/>
  <c r="F12" i="47"/>
  <c r="F11" i="47"/>
  <c r="F10" i="47"/>
  <c r="F9" i="47"/>
  <c r="F8" i="47"/>
  <c r="F7" i="47"/>
  <c r="F6" i="47"/>
  <c r="F5" i="47"/>
  <c r="F4" i="47"/>
  <c r="F3" i="47"/>
  <c r="L126" i="11"/>
  <c r="L154" i="11"/>
  <c r="K3" i="11"/>
  <c r="H177" i="45" l="1"/>
  <c r="G189" i="45"/>
  <c r="F182" i="45" l="1"/>
  <c r="F181" i="45"/>
  <c r="F180" i="45"/>
  <c r="F179" i="45"/>
  <c r="F178" i="45"/>
  <c r="F177" i="45"/>
  <c r="F176" i="45"/>
  <c r="F175" i="45"/>
  <c r="F174" i="45"/>
  <c r="F173" i="45"/>
  <c r="F172" i="45"/>
  <c r="F171" i="45"/>
  <c r="F170" i="45"/>
  <c r="F169" i="45"/>
  <c r="F168" i="45"/>
  <c r="F167" i="45"/>
  <c r="F166" i="45"/>
  <c r="F165" i="45"/>
  <c r="F164" i="45"/>
  <c r="F163" i="45"/>
  <c r="F162" i="45"/>
  <c r="F161" i="45"/>
  <c r="F160" i="45"/>
  <c r="F159" i="45"/>
  <c r="F158" i="45"/>
  <c r="F157" i="45"/>
  <c r="F156" i="45"/>
  <c r="F155" i="45"/>
  <c r="F154" i="45"/>
  <c r="F153" i="45"/>
  <c r="F152" i="45"/>
  <c r="F151" i="45"/>
  <c r="F150" i="45"/>
  <c r="F149" i="45"/>
  <c r="F148" i="45"/>
  <c r="F147" i="45"/>
  <c r="F146" i="45"/>
  <c r="F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114" i="45"/>
  <c r="F113" i="45"/>
  <c r="F112" i="45"/>
  <c r="F111" i="45"/>
  <c r="F110" i="45"/>
  <c r="F109" i="45"/>
  <c r="F108" i="45"/>
  <c r="F107" i="45"/>
  <c r="F106" i="45"/>
  <c r="F105" i="45"/>
  <c r="F104" i="45"/>
  <c r="F103" i="45"/>
  <c r="F102" i="45"/>
  <c r="F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F87" i="45"/>
  <c r="F86" i="45"/>
  <c r="F85" i="45"/>
  <c r="F84" i="45"/>
  <c r="F83" i="45"/>
  <c r="F82" i="45"/>
  <c r="F81" i="45"/>
  <c r="F80" i="45"/>
  <c r="F79" i="45"/>
  <c r="F78" i="45"/>
  <c r="F77" i="45"/>
  <c r="F76" i="45"/>
  <c r="F75" i="45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7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K18" i="11" l="1"/>
  <c r="K79" i="11"/>
  <c r="K154" i="11"/>
  <c r="K91" i="11"/>
  <c r="M91" i="39" l="1"/>
  <c r="K126" i="11" l="1"/>
  <c r="I29" i="11"/>
  <c r="J18" i="11"/>
  <c r="G192" i="44" l="1"/>
  <c r="I192" i="44" a="1"/>
  <c r="I192" i="44" s="1"/>
  <c r="G188" i="44"/>
  <c r="G189" i="44"/>
  <c r="F182" i="44"/>
  <c r="F181" i="44"/>
  <c r="F180" i="44"/>
  <c r="F179" i="44"/>
  <c r="F178" i="44"/>
  <c r="F177" i="44"/>
  <c r="F176" i="44"/>
  <c r="F175" i="44"/>
  <c r="F174" i="44"/>
  <c r="F173" i="44"/>
  <c r="F172" i="44"/>
  <c r="F171" i="44"/>
  <c r="F170" i="44"/>
  <c r="F169" i="44"/>
  <c r="F168" i="44"/>
  <c r="F167" i="44"/>
  <c r="F166" i="44"/>
  <c r="F165" i="44"/>
  <c r="F164" i="44"/>
  <c r="F163" i="44"/>
  <c r="F162" i="44"/>
  <c r="F161" i="44"/>
  <c r="F160" i="44"/>
  <c r="F159" i="44"/>
  <c r="F158" i="44"/>
  <c r="F157" i="44"/>
  <c r="F156" i="44"/>
  <c r="F155" i="44"/>
  <c r="F154" i="44"/>
  <c r="F153" i="44"/>
  <c r="F152" i="44"/>
  <c r="F151" i="44"/>
  <c r="F150" i="44"/>
  <c r="F149" i="44"/>
  <c r="F148" i="44"/>
  <c r="F147" i="44"/>
  <c r="F146" i="44"/>
  <c r="F145" i="44"/>
  <c r="F144" i="44"/>
  <c r="F143" i="44"/>
  <c r="F142" i="44"/>
  <c r="F141" i="44"/>
  <c r="F140" i="44"/>
  <c r="F139" i="44"/>
  <c r="F138" i="44"/>
  <c r="F137" i="44"/>
  <c r="F136" i="44"/>
  <c r="F135" i="44"/>
  <c r="F134" i="44"/>
  <c r="F133" i="44"/>
  <c r="F132" i="44"/>
  <c r="F131" i="44"/>
  <c r="F130" i="44"/>
  <c r="F129" i="44"/>
  <c r="F128" i="44"/>
  <c r="F127" i="44"/>
  <c r="F126" i="44"/>
  <c r="F125" i="44"/>
  <c r="F124" i="44"/>
  <c r="F123" i="44"/>
  <c r="F122" i="44"/>
  <c r="F121" i="44"/>
  <c r="F120" i="44"/>
  <c r="F119" i="44"/>
  <c r="F118" i="44"/>
  <c r="F117" i="44"/>
  <c r="F116" i="44"/>
  <c r="F115" i="44"/>
  <c r="F114" i="44"/>
  <c r="F113" i="44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9" i="44"/>
  <c r="F58" i="44"/>
  <c r="F57" i="44"/>
  <c r="F56" i="44"/>
  <c r="F55" i="44"/>
  <c r="F54" i="44"/>
  <c r="F53" i="44"/>
  <c r="F52" i="44"/>
  <c r="F51" i="44"/>
  <c r="F50" i="44"/>
  <c r="F49" i="44"/>
  <c r="F48" i="44"/>
  <c r="F47" i="44"/>
  <c r="F46" i="44"/>
  <c r="F45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F6" i="44"/>
  <c r="F5" i="44"/>
  <c r="F4" i="44"/>
  <c r="F3" i="44"/>
  <c r="H24" i="11"/>
  <c r="J154" i="11" l="1"/>
  <c r="J135" i="11"/>
  <c r="F182" i="43"/>
  <c r="F181" i="43"/>
  <c r="F180" i="43"/>
  <c r="F179" i="43"/>
  <c r="F178" i="43"/>
  <c r="F177" i="43"/>
  <c r="F176" i="43"/>
  <c r="F175" i="43"/>
  <c r="F174" i="43"/>
  <c r="F173" i="43"/>
  <c r="F172" i="43"/>
  <c r="F171" i="43"/>
  <c r="F170" i="43"/>
  <c r="F169" i="43"/>
  <c r="F168" i="43"/>
  <c r="F167" i="43"/>
  <c r="F166" i="43"/>
  <c r="F165" i="43"/>
  <c r="F164" i="43"/>
  <c r="F163" i="43"/>
  <c r="F162" i="43"/>
  <c r="F161" i="43"/>
  <c r="F160" i="43"/>
  <c r="F159" i="43"/>
  <c r="F158" i="43"/>
  <c r="F157" i="43"/>
  <c r="F156" i="43"/>
  <c r="F155" i="43"/>
  <c r="F154" i="43"/>
  <c r="F153" i="43"/>
  <c r="F152" i="43"/>
  <c r="F151" i="43"/>
  <c r="F150" i="43"/>
  <c r="F149" i="43"/>
  <c r="F148" i="43"/>
  <c r="F147" i="43"/>
  <c r="F146" i="43"/>
  <c r="F145" i="43"/>
  <c r="F144" i="43"/>
  <c r="F143" i="43"/>
  <c r="F142" i="43"/>
  <c r="F141" i="43"/>
  <c r="F140" i="43"/>
  <c r="F139" i="43"/>
  <c r="F138" i="43"/>
  <c r="F137" i="43"/>
  <c r="F136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21" i="43"/>
  <c r="F120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61" i="43"/>
  <c r="F60" i="43"/>
  <c r="F59" i="43"/>
  <c r="F58" i="43"/>
  <c r="F57" i="43"/>
  <c r="F56" i="43"/>
  <c r="F55" i="43"/>
  <c r="F54" i="43"/>
  <c r="F53" i="43"/>
  <c r="F52" i="43"/>
  <c r="F51" i="43"/>
  <c r="F50" i="43"/>
  <c r="F49" i="43"/>
  <c r="F48" i="43"/>
  <c r="F47" i="43"/>
  <c r="F46" i="43"/>
  <c r="F45" i="43"/>
  <c r="F44" i="43"/>
  <c r="F43" i="43"/>
  <c r="F42" i="43"/>
  <c r="F41" i="43"/>
  <c r="F40" i="43"/>
  <c r="F39" i="43"/>
  <c r="F38" i="43"/>
  <c r="F37" i="43"/>
  <c r="F36" i="43"/>
  <c r="F35" i="43"/>
  <c r="F34" i="43"/>
  <c r="F33" i="43"/>
  <c r="F32" i="43"/>
  <c r="F31" i="43"/>
  <c r="F30" i="43"/>
  <c r="F29" i="43"/>
  <c r="F28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6" i="43"/>
  <c r="F5" i="43"/>
  <c r="F4" i="43"/>
  <c r="F3" i="43"/>
  <c r="I18" i="11"/>
  <c r="F27" i="11"/>
  <c r="I92" i="11" l="1"/>
  <c r="I154" i="11" l="1"/>
  <c r="H18" i="11"/>
  <c r="F159" i="42"/>
  <c r="F3" i="42"/>
  <c r="F182" i="42"/>
  <c r="F181" i="42"/>
  <c r="F180" i="42"/>
  <c r="F179" i="42"/>
  <c r="F178" i="42"/>
  <c r="F177" i="42"/>
  <c r="F176" i="42"/>
  <c r="F175" i="42"/>
  <c r="F174" i="42"/>
  <c r="F173" i="42"/>
  <c r="F172" i="42"/>
  <c r="F171" i="42"/>
  <c r="F170" i="42"/>
  <c r="F169" i="42"/>
  <c r="F168" i="42"/>
  <c r="F167" i="42"/>
  <c r="F166" i="42"/>
  <c r="F165" i="42"/>
  <c r="F164" i="42"/>
  <c r="F163" i="42"/>
  <c r="F162" i="42"/>
  <c r="F161" i="42"/>
  <c r="F160" i="42"/>
  <c r="F158" i="42"/>
  <c r="F157" i="42"/>
  <c r="F156" i="42"/>
  <c r="F155" i="42"/>
  <c r="F154" i="42"/>
  <c r="F153" i="42"/>
  <c r="F152" i="42"/>
  <c r="F151" i="42"/>
  <c r="F150" i="42"/>
  <c r="F149" i="42"/>
  <c r="F148" i="42"/>
  <c r="F147" i="42"/>
  <c r="F146" i="42"/>
  <c r="F145" i="42"/>
  <c r="F144" i="42"/>
  <c r="F143" i="42"/>
  <c r="F142" i="42"/>
  <c r="F141" i="42"/>
  <c r="F140" i="42"/>
  <c r="F139" i="42"/>
  <c r="F138" i="42"/>
  <c r="F137" i="42"/>
  <c r="F136" i="42"/>
  <c r="F135" i="42"/>
  <c r="F134" i="42"/>
  <c r="F133" i="42"/>
  <c r="F132" i="42"/>
  <c r="F131" i="42"/>
  <c r="F130" i="42"/>
  <c r="F129" i="42"/>
  <c r="F128" i="42"/>
  <c r="F127" i="42"/>
  <c r="F126" i="42"/>
  <c r="F125" i="42"/>
  <c r="F124" i="42"/>
  <c r="F123" i="42"/>
  <c r="F122" i="42"/>
  <c r="F121" i="42"/>
  <c r="F120" i="42"/>
  <c r="F119" i="42"/>
  <c r="F118" i="42"/>
  <c r="F117" i="42"/>
  <c r="F116" i="42"/>
  <c r="F115" i="42"/>
  <c r="F114" i="42"/>
  <c r="F113" i="42"/>
  <c r="F112" i="42"/>
  <c r="F111" i="42"/>
  <c r="F110" i="42"/>
  <c r="F109" i="42"/>
  <c r="F108" i="42"/>
  <c r="F107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94" i="42"/>
  <c r="F93" i="42"/>
  <c r="F92" i="42"/>
  <c r="F91" i="42"/>
  <c r="F90" i="42"/>
  <c r="F89" i="42"/>
  <c r="F88" i="42"/>
  <c r="F87" i="42"/>
  <c r="F86" i="42"/>
  <c r="F85" i="42"/>
  <c r="F84" i="42"/>
  <c r="F83" i="42"/>
  <c r="F82" i="42"/>
  <c r="F81" i="42"/>
  <c r="F80" i="42"/>
  <c r="F79" i="42"/>
  <c r="F78" i="42"/>
  <c r="F77" i="42"/>
  <c r="F76" i="42"/>
  <c r="F75" i="42"/>
  <c r="F74" i="42"/>
  <c r="F73" i="42"/>
  <c r="F72" i="42"/>
  <c r="F71" i="42"/>
  <c r="F70" i="42"/>
  <c r="F69" i="42"/>
  <c r="F68" i="42"/>
  <c r="F67" i="42"/>
  <c r="F66" i="42"/>
  <c r="F65" i="42"/>
  <c r="F64" i="42"/>
  <c r="F63" i="42"/>
  <c r="F62" i="42"/>
  <c r="F61" i="42"/>
  <c r="F60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6" i="42"/>
  <c r="F45" i="42"/>
  <c r="F44" i="42"/>
  <c r="F43" i="42"/>
  <c r="F42" i="42"/>
  <c r="F41" i="42"/>
  <c r="F40" i="42"/>
  <c r="F39" i="42"/>
  <c r="F38" i="42"/>
  <c r="F37" i="42"/>
  <c r="F36" i="42"/>
  <c r="F35" i="42"/>
  <c r="F34" i="42"/>
  <c r="F33" i="42"/>
  <c r="F32" i="42"/>
  <c r="F31" i="42"/>
  <c r="F30" i="42"/>
  <c r="F29" i="42"/>
  <c r="F28" i="42"/>
  <c r="F27" i="42"/>
  <c r="F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F10" i="42"/>
  <c r="F9" i="42"/>
  <c r="F8" i="42"/>
  <c r="F7" i="42"/>
  <c r="F6" i="42"/>
  <c r="F5" i="42"/>
  <c r="F4" i="42"/>
  <c r="H7" i="11"/>
  <c r="H154" i="11"/>
  <c r="G18" i="11" l="1"/>
  <c r="H21" i="11"/>
  <c r="K179" i="41"/>
  <c r="F182" i="41"/>
  <c r="F181" i="41"/>
  <c r="F180" i="41"/>
  <c r="F179" i="41"/>
  <c r="F178" i="41"/>
  <c r="F177" i="41"/>
  <c r="F176" i="41"/>
  <c r="F175" i="41"/>
  <c r="F174" i="41"/>
  <c r="F173" i="41"/>
  <c r="F172" i="41"/>
  <c r="F171" i="41"/>
  <c r="F170" i="41"/>
  <c r="F169" i="41"/>
  <c r="F168" i="41"/>
  <c r="F167" i="41"/>
  <c r="F166" i="41"/>
  <c r="F165" i="41"/>
  <c r="F164" i="41"/>
  <c r="F163" i="41"/>
  <c r="F162" i="41"/>
  <c r="F161" i="41"/>
  <c r="F160" i="41"/>
  <c r="F159" i="41"/>
  <c r="F158" i="41"/>
  <c r="F157" i="41"/>
  <c r="F156" i="41"/>
  <c r="F155" i="41"/>
  <c r="F154" i="41"/>
  <c r="F153" i="41"/>
  <c r="F152" i="41"/>
  <c r="F151" i="41"/>
  <c r="F150" i="41"/>
  <c r="F149" i="41"/>
  <c r="F148" i="41"/>
  <c r="F147" i="41"/>
  <c r="F146" i="41"/>
  <c r="F145" i="41"/>
  <c r="F144" i="41"/>
  <c r="F143" i="41"/>
  <c r="F142" i="41"/>
  <c r="F141" i="41"/>
  <c r="F140" i="41"/>
  <c r="F139" i="41"/>
  <c r="F138" i="41"/>
  <c r="F137" i="41"/>
  <c r="F136" i="41"/>
  <c r="F135" i="41"/>
  <c r="F134" i="41"/>
  <c r="F133" i="41"/>
  <c r="F132" i="41"/>
  <c r="F131" i="41"/>
  <c r="F130" i="41"/>
  <c r="F129" i="41"/>
  <c r="F128" i="41"/>
  <c r="F127" i="41"/>
  <c r="F126" i="41"/>
  <c r="F125" i="41"/>
  <c r="F124" i="41"/>
  <c r="F123" i="41"/>
  <c r="F122" i="41"/>
  <c r="F121" i="41"/>
  <c r="F120" i="41"/>
  <c r="F119" i="41"/>
  <c r="F118" i="41"/>
  <c r="F117" i="41"/>
  <c r="F116" i="41"/>
  <c r="F115" i="41"/>
  <c r="F114" i="41"/>
  <c r="F113" i="41"/>
  <c r="F112" i="41"/>
  <c r="F111" i="41"/>
  <c r="F110" i="41"/>
  <c r="F109" i="41"/>
  <c r="F108" i="41"/>
  <c r="F107" i="41"/>
  <c r="F106" i="41"/>
  <c r="F105" i="41"/>
  <c r="F104" i="41"/>
  <c r="F103" i="41"/>
  <c r="F102" i="41"/>
  <c r="F101" i="41"/>
  <c r="F100" i="41"/>
  <c r="F99" i="41"/>
  <c r="F98" i="41"/>
  <c r="F97" i="41"/>
  <c r="F96" i="41"/>
  <c r="F95" i="41"/>
  <c r="F94" i="41"/>
  <c r="F93" i="41"/>
  <c r="F92" i="41"/>
  <c r="F91" i="41"/>
  <c r="F90" i="41"/>
  <c r="F89" i="41"/>
  <c r="F88" i="41"/>
  <c r="F87" i="41"/>
  <c r="F86" i="41"/>
  <c r="F85" i="41"/>
  <c r="F84" i="41"/>
  <c r="F83" i="41"/>
  <c r="F82" i="41"/>
  <c r="F81" i="41"/>
  <c r="F80" i="41"/>
  <c r="F79" i="41"/>
  <c r="F78" i="41"/>
  <c r="F77" i="41"/>
  <c r="F76" i="41"/>
  <c r="F75" i="41"/>
  <c r="F74" i="41"/>
  <c r="F73" i="41"/>
  <c r="F72" i="41"/>
  <c r="F71" i="41"/>
  <c r="F70" i="41"/>
  <c r="F69" i="41"/>
  <c r="F68" i="41"/>
  <c r="F67" i="41"/>
  <c r="F66" i="41"/>
  <c r="F65" i="41"/>
  <c r="F64" i="41"/>
  <c r="F63" i="41"/>
  <c r="F62" i="41"/>
  <c r="F61" i="41"/>
  <c r="F60" i="41"/>
  <c r="F59" i="41"/>
  <c r="F58" i="41"/>
  <c r="F57" i="41"/>
  <c r="F56" i="41"/>
  <c r="F55" i="41"/>
  <c r="F54" i="41"/>
  <c r="F53" i="41"/>
  <c r="F52" i="41"/>
  <c r="F51" i="41"/>
  <c r="F50" i="41"/>
  <c r="F49" i="41"/>
  <c r="F48" i="41"/>
  <c r="F47" i="41"/>
  <c r="F46" i="41"/>
  <c r="F45" i="41"/>
  <c r="F44" i="41"/>
  <c r="F43" i="41"/>
  <c r="F42" i="41"/>
  <c r="F41" i="41"/>
  <c r="F40" i="41"/>
  <c r="F39" i="41"/>
  <c r="F38" i="41"/>
  <c r="F37" i="41"/>
  <c r="F36" i="41"/>
  <c r="F35" i="41"/>
  <c r="F34" i="41"/>
  <c r="F33" i="41"/>
  <c r="F32" i="41"/>
  <c r="F31" i="41"/>
  <c r="F30" i="41"/>
  <c r="F29" i="41"/>
  <c r="F28" i="41"/>
  <c r="F27" i="41"/>
  <c r="F26" i="41"/>
  <c r="F25" i="41"/>
  <c r="F24" i="41"/>
  <c r="F23" i="41"/>
  <c r="F22" i="41"/>
  <c r="F21" i="41"/>
  <c r="F20" i="41"/>
  <c r="F19" i="41"/>
  <c r="F18" i="41"/>
  <c r="F17" i="41"/>
  <c r="F16" i="41"/>
  <c r="F15" i="41"/>
  <c r="F14" i="41"/>
  <c r="F13" i="41"/>
  <c r="F12" i="41"/>
  <c r="F11" i="41"/>
  <c r="F10" i="41"/>
  <c r="F9" i="41"/>
  <c r="F8" i="41"/>
  <c r="F7" i="41"/>
  <c r="F6" i="41"/>
  <c r="F5" i="41"/>
  <c r="F4" i="41"/>
  <c r="F3" i="41"/>
  <c r="B20" i="21"/>
  <c r="B21" i="21"/>
  <c r="F142" i="11"/>
  <c r="F131" i="11"/>
  <c r="F128" i="11"/>
  <c r="G114" i="11"/>
  <c r="G154" i="11"/>
  <c r="G43" i="11"/>
  <c r="I192" i="40" l="1" a="1"/>
  <c r="I192" i="40" s="1"/>
  <c r="F90" i="40" l="1"/>
  <c r="F115" i="11"/>
  <c r="F154" i="11"/>
  <c r="G1" i="38"/>
  <c r="E190" i="38"/>
  <c r="F78" i="11"/>
  <c r="F71" i="11"/>
  <c r="F76" i="11"/>
  <c r="K183" i="38"/>
  <c r="I192" i="38" l="1" a="1"/>
  <c r="I192" i="38" s="1"/>
  <c r="F193" i="38" l="1"/>
  <c r="F189" i="38"/>
  <c r="J6" i="38"/>
  <c r="F168" i="38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7" i="38"/>
  <c r="F166" i="38"/>
  <c r="F165" i="38"/>
  <c r="F164" i="38"/>
  <c r="F163" i="38"/>
  <c r="F162" i="38"/>
  <c r="F161" i="38"/>
  <c r="F160" i="38"/>
  <c r="F159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F43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1" i="38"/>
  <c r="F10" i="38"/>
  <c r="F9" i="38"/>
  <c r="F8" i="38"/>
  <c r="F7" i="38"/>
  <c r="F6" i="38"/>
  <c r="F5" i="38"/>
  <c r="F4" i="38"/>
  <c r="F3" i="38"/>
  <c r="M90" i="39" l="1"/>
  <c r="M92" i="39"/>
  <c r="J4" i="50" l="1"/>
  <c r="J5" i="50"/>
  <c r="J6" i="50"/>
  <c r="J7" i="50"/>
  <c r="J8" i="50"/>
  <c r="J9" i="50"/>
  <c r="J10" i="50"/>
  <c r="J11" i="50"/>
  <c r="J12" i="50"/>
  <c r="J13" i="50"/>
  <c r="J14" i="50"/>
  <c r="J15" i="50"/>
  <c r="J16" i="50"/>
  <c r="J17" i="50"/>
  <c r="J18" i="50"/>
  <c r="J19" i="50"/>
  <c r="J20" i="50"/>
  <c r="J21" i="50"/>
  <c r="J22" i="50"/>
  <c r="J23" i="50"/>
  <c r="J24" i="50"/>
  <c r="J25" i="50"/>
  <c r="J26" i="50"/>
  <c r="J27" i="50"/>
  <c r="J28" i="50"/>
  <c r="J29" i="50"/>
  <c r="J30" i="50"/>
  <c r="J31" i="50"/>
  <c r="J32" i="50"/>
  <c r="J33" i="50"/>
  <c r="J34" i="50"/>
  <c r="J35" i="50"/>
  <c r="J36" i="50"/>
  <c r="J37" i="50"/>
  <c r="J38" i="50"/>
  <c r="J39" i="50"/>
  <c r="J40" i="50"/>
  <c r="J41" i="50"/>
  <c r="J42" i="50"/>
  <c r="J43" i="50"/>
  <c r="J44" i="50"/>
  <c r="J45" i="50"/>
  <c r="J46" i="50"/>
  <c r="J47" i="50"/>
  <c r="J48" i="50"/>
  <c r="J49" i="50"/>
  <c r="J50" i="50"/>
  <c r="J51" i="50"/>
  <c r="J52" i="50"/>
  <c r="J53" i="50"/>
  <c r="J54" i="50"/>
  <c r="J55" i="50"/>
  <c r="J56" i="50"/>
  <c r="J57" i="50"/>
  <c r="J58" i="50"/>
  <c r="J59" i="50"/>
  <c r="J60" i="50"/>
  <c r="J61" i="50"/>
  <c r="J62" i="50"/>
  <c r="J63" i="50"/>
  <c r="J64" i="50"/>
  <c r="J65" i="50"/>
  <c r="J66" i="50"/>
  <c r="J67" i="50"/>
  <c r="J68" i="50"/>
  <c r="J69" i="50"/>
  <c r="J70" i="50"/>
  <c r="J71" i="50"/>
  <c r="J72" i="50"/>
  <c r="J73" i="50"/>
  <c r="J74" i="50"/>
  <c r="J75" i="50"/>
  <c r="J76" i="50"/>
  <c r="J77" i="50"/>
  <c r="J78" i="50"/>
  <c r="J79" i="50"/>
  <c r="J80" i="50"/>
  <c r="J81" i="50"/>
  <c r="J82" i="50"/>
  <c r="J83" i="50"/>
  <c r="J84" i="50"/>
  <c r="J85" i="50"/>
  <c r="J86" i="50"/>
  <c r="J87" i="50"/>
  <c r="J88" i="50"/>
  <c r="J89" i="50"/>
  <c r="J90" i="50"/>
  <c r="J91" i="50"/>
  <c r="J92" i="50"/>
  <c r="J93" i="50"/>
  <c r="J94" i="50"/>
  <c r="J95" i="50"/>
  <c r="J96" i="50"/>
  <c r="J97" i="50"/>
  <c r="J98" i="50"/>
  <c r="J99" i="50"/>
  <c r="J100" i="50"/>
  <c r="J101" i="50"/>
  <c r="J102" i="50"/>
  <c r="J103" i="50"/>
  <c r="J104" i="50"/>
  <c r="J105" i="50"/>
  <c r="J106" i="50"/>
  <c r="J107" i="50"/>
  <c r="J108" i="50"/>
  <c r="J109" i="50"/>
  <c r="J110" i="50"/>
  <c r="J111" i="50"/>
  <c r="J112" i="50"/>
  <c r="J113" i="50"/>
  <c r="J114" i="50"/>
  <c r="J115" i="50"/>
  <c r="J116" i="50"/>
  <c r="J117" i="50"/>
  <c r="J118" i="50"/>
  <c r="J119" i="50"/>
  <c r="J120" i="50"/>
  <c r="J121" i="50"/>
  <c r="J122" i="50"/>
  <c r="J123" i="50"/>
  <c r="J124" i="50"/>
  <c r="J125" i="50"/>
  <c r="J126" i="50"/>
  <c r="J127" i="50"/>
  <c r="J128" i="50"/>
  <c r="J129" i="50"/>
  <c r="J130" i="50"/>
  <c r="J131" i="50"/>
  <c r="J132" i="50"/>
  <c r="J133" i="50"/>
  <c r="J134" i="50"/>
  <c r="J135" i="50"/>
  <c r="J136" i="50"/>
  <c r="J137" i="50"/>
  <c r="J138" i="50"/>
  <c r="J139" i="50"/>
  <c r="J140" i="50"/>
  <c r="J141" i="50"/>
  <c r="J142" i="50"/>
  <c r="J143" i="50"/>
  <c r="J144" i="50"/>
  <c r="J145" i="50"/>
  <c r="J146" i="50"/>
  <c r="J147" i="50"/>
  <c r="J148" i="50"/>
  <c r="J149" i="50"/>
  <c r="J150" i="50"/>
  <c r="J151" i="50"/>
  <c r="J152" i="50"/>
  <c r="J153" i="50"/>
  <c r="J154" i="50"/>
  <c r="J155" i="50"/>
  <c r="J156" i="50"/>
  <c r="J157" i="50"/>
  <c r="J158" i="50"/>
  <c r="J159" i="50"/>
  <c r="J160" i="50"/>
  <c r="J161" i="50"/>
  <c r="J162" i="50"/>
  <c r="J163" i="50"/>
  <c r="J164" i="50"/>
  <c r="J165" i="50"/>
  <c r="J166" i="50"/>
  <c r="J167" i="50"/>
  <c r="J168" i="50"/>
  <c r="J169" i="50"/>
  <c r="J170" i="50"/>
  <c r="J171" i="50"/>
  <c r="J172" i="50"/>
  <c r="J173" i="50"/>
  <c r="J174" i="50"/>
  <c r="J175" i="50"/>
  <c r="J176" i="50"/>
  <c r="J177" i="50"/>
  <c r="J178" i="50"/>
  <c r="J179" i="50"/>
  <c r="J180" i="50"/>
  <c r="J181" i="50"/>
  <c r="J182" i="50"/>
  <c r="E190" i="51"/>
  <c r="B21" i="19" l="1"/>
  <c r="G189" i="49" l="1"/>
  <c r="G188" i="48" l="1"/>
  <c r="G189" i="48"/>
  <c r="B20" i="19" l="1"/>
  <c r="K183" i="42" l="1"/>
  <c r="F183" i="41" l="1"/>
  <c r="F182" i="40" l="1"/>
  <c r="F181" i="40"/>
  <c r="F180" i="40"/>
  <c r="F179" i="40"/>
  <c r="F178" i="40"/>
  <c r="F177" i="40"/>
  <c r="F176" i="40"/>
  <c r="F175" i="40"/>
  <c r="F174" i="40"/>
  <c r="F173" i="40"/>
  <c r="F172" i="40"/>
  <c r="F171" i="40"/>
  <c r="F170" i="40"/>
  <c r="F169" i="40"/>
  <c r="F168" i="40"/>
  <c r="F167" i="40"/>
  <c r="F166" i="40"/>
  <c r="F165" i="40"/>
  <c r="F164" i="40"/>
  <c r="F163" i="40"/>
  <c r="F162" i="40"/>
  <c r="F161" i="40"/>
  <c r="F160" i="40"/>
  <c r="F159" i="40"/>
  <c r="F158" i="40"/>
  <c r="F157" i="40"/>
  <c r="F156" i="40"/>
  <c r="F155" i="40"/>
  <c r="F154" i="40"/>
  <c r="F153" i="40"/>
  <c r="F152" i="40"/>
  <c r="F151" i="40"/>
  <c r="F150" i="40"/>
  <c r="F149" i="40"/>
  <c r="F148" i="40"/>
  <c r="F147" i="40"/>
  <c r="F146" i="40"/>
  <c r="F145" i="40"/>
  <c r="F144" i="40"/>
  <c r="F143" i="40"/>
  <c r="F142" i="40"/>
  <c r="F141" i="40"/>
  <c r="F140" i="40"/>
  <c r="F139" i="40"/>
  <c r="F138" i="40"/>
  <c r="F137" i="40"/>
  <c r="F136" i="40"/>
  <c r="F135" i="40"/>
  <c r="F134" i="40"/>
  <c r="F133" i="40"/>
  <c r="F132" i="40"/>
  <c r="F131" i="40"/>
  <c r="F130" i="40"/>
  <c r="F129" i="40"/>
  <c r="F128" i="40"/>
  <c r="F127" i="40"/>
  <c r="F126" i="40"/>
  <c r="F125" i="40"/>
  <c r="F124" i="40"/>
  <c r="F123" i="40"/>
  <c r="F122" i="40"/>
  <c r="F121" i="40"/>
  <c r="F120" i="40"/>
  <c r="F119" i="40"/>
  <c r="F118" i="40"/>
  <c r="F117" i="40"/>
  <c r="F116" i="40"/>
  <c r="F115" i="40"/>
  <c r="F114" i="40"/>
  <c r="F113" i="40"/>
  <c r="F112" i="40"/>
  <c r="F111" i="40"/>
  <c r="F110" i="40"/>
  <c r="F109" i="40"/>
  <c r="F108" i="40"/>
  <c r="F107" i="40"/>
  <c r="F106" i="40"/>
  <c r="F105" i="40"/>
  <c r="F104" i="40"/>
  <c r="F103" i="40"/>
  <c r="F102" i="40"/>
  <c r="F101" i="40"/>
  <c r="F100" i="40"/>
  <c r="F99" i="40"/>
  <c r="F98" i="40"/>
  <c r="F97" i="40"/>
  <c r="F96" i="40"/>
  <c r="F95" i="40"/>
  <c r="F94" i="40"/>
  <c r="F93" i="40"/>
  <c r="F92" i="40"/>
  <c r="F91" i="40"/>
  <c r="F89" i="40"/>
  <c r="F88" i="40"/>
  <c r="F87" i="40"/>
  <c r="F86" i="40"/>
  <c r="F85" i="40"/>
  <c r="F84" i="40"/>
  <c r="F83" i="40"/>
  <c r="F82" i="40"/>
  <c r="F81" i="40"/>
  <c r="F80" i="40"/>
  <c r="F79" i="40"/>
  <c r="F78" i="40"/>
  <c r="F77" i="40"/>
  <c r="F76" i="40"/>
  <c r="F75" i="40"/>
  <c r="F74" i="40"/>
  <c r="F73" i="40"/>
  <c r="F72" i="40"/>
  <c r="F71" i="40"/>
  <c r="F70" i="40"/>
  <c r="F69" i="40"/>
  <c r="F68" i="40"/>
  <c r="F67" i="40"/>
  <c r="F66" i="40"/>
  <c r="F65" i="40"/>
  <c r="F64" i="40"/>
  <c r="F63" i="40"/>
  <c r="F62" i="40"/>
  <c r="F61" i="40"/>
  <c r="F60" i="40"/>
  <c r="F59" i="40"/>
  <c r="F58" i="40"/>
  <c r="F57" i="40"/>
  <c r="F56" i="40"/>
  <c r="F55" i="40"/>
  <c r="F54" i="40"/>
  <c r="F53" i="40"/>
  <c r="F52" i="40"/>
  <c r="F51" i="40"/>
  <c r="F50" i="40"/>
  <c r="F49" i="40"/>
  <c r="F48" i="40"/>
  <c r="F47" i="40"/>
  <c r="F46" i="40"/>
  <c r="F45" i="40"/>
  <c r="F44" i="40"/>
  <c r="F43" i="40"/>
  <c r="F42" i="40"/>
  <c r="F41" i="40"/>
  <c r="F40" i="40"/>
  <c r="F39" i="40"/>
  <c r="F38" i="40"/>
  <c r="F37" i="40"/>
  <c r="F36" i="40"/>
  <c r="F35" i="40"/>
  <c r="F34" i="40"/>
  <c r="F33" i="40"/>
  <c r="F32" i="40"/>
  <c r="F31" i="40"/>
  <c r="F30" i="40"/>
  <c r="F29" i="40"/>
  <c r="F28" i="40"/>
  <c r="F27" i="40"/>
  <c r="F26" i="40"/>
  <c r="F25" i="40"/>
  <c r="F24" i="40"/>
  <c r="F23" i="40"/>
  <c r="F22" i="40"/>
  <c r="F21" i="40"/>
  <c r="F20" i="40"/>
  <c r="F19" i="40"/>
  <c r="F18" i="40"/>
  <c r="F17" i="40"/>
  <c r="F16" i="40"/>
  <c r="F15" i="40"/>
  <c r="F14" i="40"/>
  <c r="F13" i="40"/>
  <c r="F12" i="40"/>
  <c r="F11" i="40"/>
  <c r="F10" i="40"/>
  <c r="F9" i="40"/>
  <c r="F8" i="40"/>
  <c r="F7" i="40"/>
  <c r="F6" i="40"/>
  <c r="F5" i="40"/>
  <c r="F4" i="40"/>
  <c r="F3" i="40"/>
  <c r="D67" i="7"/>
  <c r="AJ67" i="7"/>
  <c r="AF67" i="7"/>
  <c r="AB67" i="7"/>
  <c r="X67" i="7"/>
  <c r="T67" i="7"/>
  <c r="P67" i="7"/>
  <c r="L67" i="7"/>
  <c r="H67" i="7"/>
  <c r="F198" i="40" l="1"/>
  <c r="H181" i="29"/>
  <c r="E181" i="29"/>
  <c r="H180" i="29"/>
  <c r="H179" i="29"/>
  <c r="H178" i="29"/>
  <c r="H177" i="29"/>
  <c r="H176" i="29"/>
  <c r="H175" i="29"/>
  <c r="H174" i="29"/>
  <c r="H173" i="29"/>
  <c r="H172" i="29"/>
  <c r="H171" i="29"/>
  <c r="N170" i="29"/>
  <c r="H170" i="29"/>
  <c r="H169" i="29"/>
  <c r="H168" i="29"/>
  <c r="H167" i="29"/>
  <c r="H166" i="29"/>
  <c r="H165" i="29"/>
  <c r="F165" i="29"/>
  <c r="H164" i="29"/>
  <c r="H163" i="29"/>
  <c r="H162" i="29"/>
  <c r="H161" i="29"/>
  <c r="H160" i="29"/>
  <c r="H159" i="29"/>
  <c r="H158" i="29"/>
  <c r="H157" i="29"/>
  <c r="H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F136" i="29"/>
  <c r="H135" i="29"/>
  <c r="H134" i="29"/>
  <c r="H133" i="29"/>
  <c r="H132" i="29"/>
  <c r="H131" i="29"/>
  <c r="J130" i="29"/>
  <c r="H130" i="29"/>
  <c r="K129" i="29"/>
  <c r="J129" i="29"/>
  <c r="H129" i="29"/>
  <c r="K128" i="29"/>
  <c r="J128" i="29"/>
  <c r="H128" i="29"/>
  <c r="K127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F116" i="29"/>
  <c r="H115" i="29"/>
  <c r="G115" i="29"/>
  <c r="H114" i="29"/>
  <c r="H113" i="29"/>
  <c r="H112" i="29"/>
  <c r="H111" i="29"/>
  <c r="H110" i="29"/>
  <c r="H109" i="29"/>
  <c r="H108" i="29"/>
  <c r="H107" i="29"/>
  <c r="N106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E86" i="29"/>
  <c r="H85" i="29"/>
  <c r="H84" i="29"/>
  <c r="H83" i="29"/>
  <c r="H82" i="29"/>
  <c r="H81" i="29"/>
  <c r="F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E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E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4" i="29"/>
  <c r="H3" i="29"/>
  <c r="E3" i="29"/>
  <c r="H2" i="29"/>
  <c r="B21" i="16"/>
  <c r="B21" i="15"/>
  <c r="B20" i="15"/>
  <c r="B21" i="14"/>
  <c r="B21" i="18"/>
  <c r="B21" i="20"/>
  <c r="B20" i="20"/>
  <c r="I7" i="20"/>
  <c r="B1" i="20"/>
  <c r="B1" i="15" s="1"/>
  <c r="B21" i="13"/>
  <c r="F190" i="51"/>
  <c r="F192" i="51" s="1"/>
  <c r="G189" i="51"/>
  <c r="G188" i="51"/>
  <c r="J182" i="51"/>
  <c r="O181" i="29"/>
  <c r="J181" i="51"/>
  <c r="O180" i="29"/>
  <c r="J180" i="51"/>
  <c r="O179" i="29"/>
  <c r="J179" i="51"/>
  <c r="O178" i="29"/>
  <c r="J178" i="51"/>
  <c r="O177" i="29"/>
  <c r="J177" i="51"/>
  <c r="O176" i="29"/>
  <c r="J176" i="51"/>
  <c r="O175" i="29"/>
  <c r="J175" i="51"/>
  <c r="O174" i="29"/>
  <c r="J174" i="51"/>
  <c r="O173" i="29"/>
  <c r="J173" i="51"/>
  <c r="O172" i="29"/>
  <c r="J172" i="51"/>
  <c r="O171" i="29"/>
  <c r="J171" i="51"/>
  <c r="O170" i="29"/>
  <c r="J170" i="51"/>
  <c r="O169" i="29"/>
  <c r="J169" i="51"/>
  <c r="O168" i="29"/>
  <c r="J168" i="51"/>
  <c r="O167" i="29"/>
  <c r="J167" i="51"/>
  <c r="O166" i="29"/>
  <c r="J166" i="51"/>
  <c r="O165" i="29"/>
  <c r="J165" i="51"/>
  <c r="O164" i="29"/>
  <c r="J164" i="51"/>
  <c r="O163" i="29"/>
  <c r="J163" i="51"/>
  <c r="O162" i="29"/>
  <c r="J162" i="51"/>
  <c r="O161" i="29"/>
  <c r="J161" i="51"/>
  <c r="O160" i="29"/>
  <c r="J160" i="51"/>
  <c r="O159" i="29"/>
  <c r="J159" i="51"/>
  <c r="O158" i="29"/>
  <c r="J158" i="51"/>
  <c r="O157" i="29"/>
  <c r="J157" i="51"/>
  <c r="O156" i="29"/>
  <c r="J156" i="51"/>
  <c r="O155" i="29"/>
  <c r="J155" i="51"/>
  <c r="O154" i="29"/>
  <c r="J154" i="51"/>
  <c r="O153" i="29"/>
  <c r="J153" i="51"/>
  <c r="O152" i="29"/>
  <c r="J152" i="51"/>
  <c r="O151" i="29"/>
  <c r="J151" i="51"/>
  <c r="O150" i="29"/>
  <c r="J150" i="51"/>
  <c r="O149" i="29"/>
  <c r="J149" i="51"/>
  <c r="O148" i="29"/>
  <c r="J148" i="51"/>
  <c r="O147" i="29"/>
  <c r="J147" i="51"/>
  <c r="O146" i="29"/>
  <c r="J146" i="51"/>
  <c r="O145" i="29"/>
  <c r="J145" i="51"/>
  <c r="O144" i="29"/>
  <c r="J144" i="51"/>
  <c r="O143" i="29"/>
  <c r="J143" i="51"/>
  <c r="O142" i="29"/>
  <c r="J142" i="51"/>
  <c r="O141" i="29"/>
  <c r="J141" i="51"/>
  <c r="O140" i="29"/>
  <c r="J140" i="51"/>
  <c r="O139" i="29"/>
  <c r="J139" i="51"/>
  <c r="O138" i="29"/>
  <c r="J138" i="51"/>
  <c r="O137" i="29"/>
  <c r="J137" i="51"/>
  <c r="O136" i="29"/>
  <c r="J136" i="51"/>
  <c r="O135" i="29"/>
  <c r="J135" i="51"/>
  <c r="O134" i="29"/>
  <c r="J134" i="51"/>
  <c r="O133" i="29"/>
  <c r="J133" i="51"/>
  <c r="O132" i="29"/>
  <c r="J132" i="51"/>
  <c r="O131" i="29"/>
  <c r="J131" i="51"/>
  <c r="O130" i="29"/>
  <c r="J130" i="51"/>
  <c r="O129" i="29"/>
  <c r="J129" i="51"/>
  <c r="O128" i="29"/>
  <c r="J128" i="51"/>
  <c r="O127" i="29"/>
  <c r="J127" i="51"/>
  <c r="O126" i="29"/>
  <c r="J126" i="51"/>
  <c r="O125" i="29"/>
  <c r="J125" i="51"/>
  <c r="O124" i="29"/>
  <c r="J124" i="51"/>
  <c r="O123" i="29"/>
  <c r="J123" i="51"/>
  <c r="O122" i="29"/>
  <c r="J122" i="51"/>
  <c r="O121" i="29"/>
  <c r="J121" i="51"/>
  <c r="O120" i="29"/>
  <c r="J120" i="51"/>
  <c r="O119" i="29"/>
  <c r="J119" i="51"/>
  <c r="O118" i="29"/>
  <c r="J118" i="51"/>
  <c r="O117" i="29"/>
  <c r="J117" i="51"/>
  <c r="O116" i="29"/>
  <c r="J116" i="51"/>
  <c r="O115" i="29"/>
  <c r="J115" i="51"/>
  <c r="O114" i="29"/>
  <c r="J114" i="51"/>
  <c r="O113" i="29"/>
  <c r="J113" i="51"/>
  <c r="O112" i="29"/>
  <c r="J112" i="51"/>
  <c r="O111" i="29"/>
  <c r="J111" i="51"/>
  <c r="O110" i="29"/>
  <c r="J110" i="51"/>
  <c r="O109" i="29"/>
  <c r="J109" i="51"/>
  <c r="O108" i="29"/>
  <c r="J108" i="51"/>
  <c r="O107" i="29"/>
  <c r="J107" i="51"/>
  <c r="O106" i="29"/>
  <c r="J106" i="51"/>
  <c r="O105" i="29"/>
  <c r="J105" i="51"/>
  <c r="O104" i="29"/>
  <c r="J104" i="51"/>
  <c r="O103" i="29"/>
  <c r="J103" i="51"/>
  <c r="O102" i="29"/>
  <c r="J102" i="51"/>
  <c r="O101" i="29"/>
  <c r="J101" i="51"/>
  <c r="O100" i="29"/>
  <c r="J100" i="51"/>
  <c r="O99" i="29"/>
  <c r="J99" i="51"/>
  <c r="O98" i="29"/>
  <c r="J98" i="51"/>
  <c r="O97" i="29"/>
  <c r="J97" i="51"/>
  <c r="O96" i="29"/>
  <c r="J96" i="51"/>
  <c r="O95" i="29"/>
  <c r="J95" i="51"/>
  <c r="O94" i="29"/>
  <c r="J94" i="51"/>
  <c r="O93" i="29"/>
  <c r="J93" i="51"/>
  <c r="O92" i="29"/>
  <c r="J92" i="51"/>
  <c r="O91" i="29"/>
  <c r="J91" i="51"/>
  <c r="O90" i="29"/>
  <c r="J90" i="51"/>
  <c r="O89" i="29"/>
  <c r="J89" i="51"/>
  <c r="O88" i="29"/>
  <c r="J88" i="51"/>
  <c r="O87" i="29"/>
  <c r="J87" i="51"/>
  <c r="O86" i="29"/>
  <c r="J86" i="51"/>
  <c r="O85" i="29"/>
  <c r="J85" i="51"/>
  <c r="O84" i="29"/>
  <c r="J84" i="51"/>
  <c r="O83" i="29"/>
  <c r="J83" i="51"/>
  <c r="O82" i="29"/>
  <c r="J82" i="51"/>
  <c r="O81" i="29"/>
  <c r="J81" i="51"/>
  <c r="O80" i="29"/>
  <c r="J80" i="51"/>
  <c r="O79" i="29"/>
  <c r="J79" i="51"/>
  <c r="O78" i="29"/>
  <c r="J78" i="51"/>
  <c r="O77" i="29"/>
  <c r="J77" i="51"/>
  <c r="O76" i="29"/>
  <c r="J76" i="51"/>
  <c r="O75" i="29"/>
  <c r="J75" i="51"/>
  <c r="O74" i="29"/>
  <c r="J74" i="51"/>
  <c r="O73" i="29"/>
  <c r="J73" i="51"/>
  <c r="O72" i="29"/>
  <c r="J72" i="51"/>
  <c r="O71" i="29"/>
  <c r="J71" i="51"/>
  <c r="O70" i="29"/>
  <c r="J70" i="51"/>
  <c r="O69" i="29"/>
  <c r="J69" i="51"/>
  <c r="O68" i="29"/>
  <c r="J68" i="51"/>
  <c r="O67" i="29"/>
  <c r="J67" i="51"/>
  <c r="O66" i="29"/>
  <c r="J66" i="51"/>
  <c r="O65" i="29"/>
  <c r="J65" i="51"/>
  <c r="O64" i="29"/>
  <c r="J64" i="51"/>
  <c r="O63" i="29"/>
  <c r="J63" i="51"/>
  <c r="O62" i="29"/>
  <c r="J62" i="51"/>
  <c r="O61" i="29"/>
  <c r="J61" i="51"/>
  <c r="O60" i="29"/>
  <c r="J60" i="51"/>
  <c r="O59" i="29"/>
  <c r="J59" i="51"/>
  <c r="O58" i="29"/>
  <c r="J58" i="51"/>
  <c r="O57" i="29"/>
  <c r="J57" i="51"/>
  <c r="O56" i="29"/>
  <c r="J56" i="51"/>
  <c r="O55" i="29"/>
  <c r="J55" i="51"/>
  <c r="O54" i="29"/>
  <c r="J54" i="51"/>
  <c r="O53" i="29"/>
  <c r="J53" i="51"/>
  <c r="O52" i="29"/>
  <c r="J52" i="51"/>
  <c r="O51" i="29"/>
  <c r="J51" i="51"/>
  <c r="O50" i="29"/>
  <c r="J50" i="51"/>
  <c r="O49" i="29"/>
  <c r="J49" i="51"/>
  <c r="O48" i="29"/>
  <c r="J48" i="51"/>
  <c r="O47" i="29"/>
  <c r="J47" i="51"/>
  <c r="O46" i="29"/>
  <c r="J46" i="51"/>
  <c r="O45" i="29"/>
  <c r="J45" i="51"/>
  <c r="O44" i="29"/>
  <c r="J44" i="51"/>
  <c r="O43" i="29"/>
  <c r="J43" i="51"/>
  <c r="O42" i="29"/>
  <c r="J42" i="51"/>
  <c r="O41" i="29"/>
  <c r="J41" i="51"/>
  <c r="O40" i="29"/>
  <c r="J40" i="51"/>
  <c r="O39" i="29"/>
  <c r="J39" i="51"/>
  <c r="O38" i="29"/>
  <c r="J38" i="51"/>
  <c r="O37" i="29"/>
  <c r="J37" i="51"/>
  <c r="O36" i="29"/>
  <c r="J36" i="51"/>
  <c r="O35" i="29"/>
  <c r="J35" i="51"/>
  <c r="O34" i="29"/>
  <c r="J34" i="51"/>
  <c r="O33" i="29"/>
  <c r="J33" i="51"/>
  <c r="O32" i="29"/>
  <c r="J32" i="51"/>
  <c r="O31" i="29"/>
  <c r="J31" i="51"/>
  <c r="O30" i="29"/>
  <c r="J30" i="51"/>
  <c r="O29" i="29"/>
  <c r="J29" i="51"/>
  <c r="O28" i="29"/>
  <c r="J28" i="51"/>
  <c r="O27" i="29"/>
  <c r="J27" i="51"/>
  <c r="O26" i="29"/>
  <c r="J26" i="51"/>
  <c r="O25" i="29"/>
  <c r="J25" i="51"/>
  <c r="O24" i="29"/>
  <c r="J24" i="51"/>
  <c r="O23" i="29"/>
  <c r="J23" i="51"/>
  <c r="O22" i="29"/>
  <c r="J22" i="51"/>
  <c r="O21" i="29"/>
  <c r="J21" i="51"/>
  <c r="O20" i="29"/>
  <c r="J20" i="51"/>
  <c r="O19" i="29"/>
  <c r="J19" i="51"/>
  <c r="O18" i="29"/>
  <c r="J18" i="51"/>
  <c r="O17" i="29"/>
  <c r="J17" i="51"/>
  <c r="O16" i="29"/>
  <c r="J16" i="51"/>
  <c r="O15" i="29"/>
  <c r="J15" i="51"/>
  <c r="O14" i="29"/>
  <c r="J14" i="51"/>
  <c r="O13" i="29"/>
  <c r="J13" i="51"/>
  <c r="O12" i="29"/>
  <c r="J12" i="51"/>
  <c r="O11" i="29"/>
  <c r="J11" i="51"/>
  <c r="O10" i="29"/>
  <c r="J10" i="51"/>
  <c r="O9" i="29"/>
  <c r="J9" i="51"/>
  <c r="O8" i="29"/>
  <c r="J8" i="51"/>
  <c r="O7" i="29"/>
  <c r="J7" i="51"/>
  <c r="O6" i="29"/>
  <c r="J6" i="51"/>
  <c r="O5" i="29"/>
  <c r="J5" i="51"/>
  <c r="O4" i="29"/>
  <c r="J4" i="51"/>
  <c r="O3" i="29"/>
  <c r="F190" i="50"/>
  <c r="E190" i="50"/>
  <c r="G189" i="50"/>
  <c r="G188" i="50"/>
  <c r="N181" i="29"/>
  <c r="N180" i="29"/>
  <c r="N179" i="29"/>
  <c r="N178" i="29"/>
  <c r="N177" i="29"/>
  <c r="N176" i="29"/>
  <c r="N175" i="29"/>
  <c r="N174" i="29"/>
  <c r="N173" i="29"/>
  <c r="N172" i="29"/>
  <c r="N171" i="29"/>
  <c r="N169" i="29"/>
  <c r="N168" i="29"/>
  <c r="N167" i="29"/>
  <c r="N166" i="29"/>
  <c r="N165" i="29"/>
  <c r="N164" i="29"/>
  <c r="N163" i="29"/>
  <c r="N162" i="29"/>
  <c r="N161" i="29"/>
  <c r="N160" i="29"/>
  <c r="N159" i="29"/>
  <c r="N158" i="29"/>
  <c r="N157" i="29"/>
  <c r="N156" i="29"/>
  <c r="N155" i="29"/>
  <c r="N154" i="29"/>
  <c r="N153" i="29"/>
  <c r="N152" i="29"/>
  <c r="N151" i="29"/>
  <c r="N150" i="29"/>
  <c r="N149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8" i="29"/>
  <c r="N117" i="29"/>
  <c r="N116" i="29"/>
  <c r="N115" i="29"/>
  <c r="N114" i="29"/>
  <c r="N113" i="29"/>
  <c r="N112" i="29"/>
  <c r="N111" i="29"/>
  <c r="N110" i="29"/>
  <c r="N109" i="29"/>
  <c r="N108" i="29"/>
  <c r="N107" i="29"/>
  <c r="N105" i="29"/>
  <c r="N104" i="29"/>
  <c r="N103" i="29"/>
  <c r="N102" i="29"/>
  <c r="N101" i="29"/>
  <c r="N100" i="29"/>
  <c r="N99" i="29"/>
  <c r="N98" i="29"/>
  <c r="N97" i="29"/>
  <c r="N96" i="29"/>
  <c r="N95" i="29"/>
  <c r="N94" i="29"/>
  <c r="N93" i="29"/>
  <c r="N92" i="29"/>
  <c r="N91" i="29"/>
  <c r="N90" i="29"/>
  <c r="N89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6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N63" i="29"/>
  <c r="N62" i="29"/>
  <c r="N61" i="29"/>
  <c r="N60" i="29"/>
  <c r="N59" i="29"/>
  <c r="N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N11" i="29"/>
  <c r="N10" i="29"/>
  <c r="N9" i="29"/>
  <c r="N8" i="29"/>
  <c r="N7" i="29"/>
  <c r="N6" i="29"/>
  <c r="N5" i="29"/>
  <c r="N4" i="29"/>
  <c r="N3" i="29"/>
  <c r="N2" i="29"/>
  <c r="F190" i="49"/>
  <c r="J182" i="49"/>
  <c r="M181" i="29"/>
  <c r="J181" i="49"/>
  <c r="M180" i="29"/>
  <c r="J180" i="49"/>
  <c r="M179" i="29"/>
  <c r="J179" i="49"/>
  <c r="M178" i="29"/>
  <c r="J178" i="49"/>
  <c r="M177" i="29"/>
  <c r="J177" i="49"/>
  <c r="M176" i="29"/>
  <c r="J176" i="49"/>
  <c r="M175" i="29"/>
  <c r="J175" i="49"/>
  <c r="M174" i="29"/>
  <c r="J174" i="49"/>
  <c r="M173" i="29"/>
  <c r="J173" i="49"/>
  <c r="M172" i="29"/>
  <c r="J172" i="49"/>
  <c r="M171" i="29"/>
  <c r="J171" i="49"/>
  <c r="M170" i="29"/>
  <c r="J170" i="49"/>
  <c r="M169" i="29"/>
  <c r="J169" i="49"/>
  <c r="M168" i="29"/>
  <c r="J168" i="49"/>
  <c r="M167" i="29"/>
  <c r="J167" i="49"/>
  <c r="M166" i="29"/>
  <c r="J166" i="49"/>
  <c r="M165" i="29"/>
  <c r="J165" i="49"/>
  <c r="M164" i="29"/>
  <c r="J164" i="49"/>
  <c r="M163" i="29"/>
  <c r="J163" i="49"/>
  <c r="M162" i="29"/>
  <c r="J162" i="49"/>
  <c r="M161" i="29"/>
  <c r="J161" i="49"/>
  <c r="M160" i="29"/>
  <c r="J160" i="49"/>
  <c r="M159" i="29"/>
  <c r="J159" i="49"/>
  <c r="M158" i="29"/>
  <c r="J158" i="49"/>
  <c r="M157" i="29"/>
  <c r="J157" i="49"/>
  <c r="M156" i="29"/>
  <c r="J156" i="49"/>
  <c r="M155" i="29"/>
  <c r="J155" i="49"/>
  <c r="M154" i="29"/>
  <c r="J154" i="49"/>
  <c r="M153" i="29"/>
  <c r="J153" i="49"/>
  <c r="M152" i="29"/>
  <c r="J152" i="49"/>
  <c r="M151" i="29"/>
  <c r="J151" i="49"/>
  <c r="M150" i="29"/>
  <c r="J150" i="49"/>
  <c r="M149" i="29"/>
  <c r="J149" i="49"/>
  <c r="M148" i="29"/>
  <c r="J148" i="49"/>
  <c r="M147" i="29"/>
  <c r="J147" i="49"/>
  <c r="M146" i="29"/>
  <c r="J146" i="49"/>
  <c r="M145" i="29"/>
  <c r="J145" i="49"/>
  <c r="M144" i="29"/>
  <c r="J144" i="49"/>
  <c r="M143" i="29"/>
  <c r="J143" i="49"/>
  <c r="M142" i="29"/>
  <c r="J142" i="49"/>
  <c r="M141" i="29"/>
  <c r="J141" i="49"/>
  <c r="M140" i="29"/>
  <c r="J140" i="49"/>
  <c r="M139" i="29"/>
  <c r="J139" i="49"/>
  <c r="M138" i="29"/>
  <c r="J138" i="49"/>
  <c r="M137" i="29"/>
  <c r="J137" i="49"/>
  <c r="M136" i="29"/>
  <c r="J136" i="49"/>
  <c r="M135" i="29"/>
  <c r="J135" i="49"/>
  <c r="M134" i="29"/>
  <c r="J134" i="49"/>
  <c r="M133" i="29"/>
  <c r="J133" i="49"/>
  <c r="M132" i="29"/>
  <c r="J132" i="49"/>
  <c r="M131" i="29"/>
  <c r="J131" i="49"/>
  <c r="M130" i="29"/>
  <c r="J130" i="49"/>
  <c r="M129" i="29"/>
  <c r="J129" i="49"/>
  <c r="M128" i="29"/>
  <c r="J128" i="49"/>
  <c r="M127" i="29"/>
  <c r="J127" i="49"/>
  <c r="M126" i="29"/>
  <c r="J126" i="49"/>
  <c r="M125" i="29"/>
  <c r="J125" i="49"/>
  <c r="M124" i="29"/>
  <c r="J124" i="49"/>
  <c r="M123" i="29"/>
  <c r="J123" i="49"/>
  <c r="M122" i="29"/>
  <c r="J122" i="49"/>
  <c r="M121" i="29"/>
  <c r="J121" i="49"/>
  <c r="M120" i="29"/>
  <c r="J120" i="49"/>
  <c r="M119" i="29"/>
  <c r="J119" i="49"/>
  <c r="M118" i="29"/>
  <c r="J118" i="49"/>
  <c r="M117" i="29"/>
  <c r="J117" i="49"/>
  <c r="M116" i="29"/>
  <c r="J116" i="49"/>
  <c r="M115" i="29"/>
  <c r="J115" i="49"/>
  <c r="M114" i="29"/>
  <c r="J114" i="49"/>
  <c r="M113" i="29"/>
  <c r="J113" i="49"/>
  <c r="M112" i="29"/>
  <c r="J112" i="49"/>
  <c r="M111" i="29"/>
  <c r="J111" i="49"/>
  <c r="M110" i="29"/>
  <c r="J110" i="49"/>
  <c r="M109" i="29"/>
  <c r="J109" i="49"/>
  <c r="M108" i="29"/>
  <c r="J108" i="49"/>
  <c r="M107" i="29"/>
  <c r="J107" i="49"/>
  <c r="M106" i="29"/>
  <c r="J106" i="49"/>
  <c r="M105" i="29"/>
  <c r="J105" i="49"/>
  <c r="M104" i="29"/>
  <c r="J104" i="49"/>
  <c r="M103" i="29"/>
  <c r="J103" i="49"/>
  <c r="M102" i="29"/>
  <c r="J102" i="49"/>
  <c r="M101" i="29"/>
  <c r="J101" i="49"/>
  <c r="M100" i="29"/>
  <c r="J100" i="49"/>
  <c r="M99" i="29"/>
  <c r="J99" i="49"/>
  <c r="M98" i="29"/>
  <c r="J98" i="49"/>
  <c r="M97" i="29"/>
  <c r="J97" i="49"/>
  <c r="M96" i="29"/>
  <c r="J96" i="49"/>
  <c r="M95" i="29"/>
  <c r="J95" i="49"/>
  <c r="M94" i="29"/>
  <c r="J94" i="49"/>
  <c r="M93" i="29"/>
  <c r="J93" i="49"/>
  <c r="M92" i="29"/>
  <c r="J92" i="49"/>
  <c r="M91" i="29"/>
  <c r="J91" i="49"/>
  <c r="M90" i="29"/>
  <c r="J90" i="49"/>
  <c r="M89" i="29"/>
  <c r="J89" i="49"/>
  <c r="M88" i="29"/>
  <c r="J88" i="49"/>
  <c r="M87" i="29"/>
  <c r="J87" i="49"/>
  <c r="M86" i="29"/>
  <c r="J86" i="49"/>
  <c r="M85" i="29"/>
  <c r="J85" i="49"/>
  <c r="M84" i="29"/>
  <c r="J84" i="49"/>
  <c r="M83" i="29"/>
  <c r="J83" i="49"/>
  <c r="M82" i="29"/>
  <c r="J82" i="49"/>
  <c r="M81" i="29"/>
  <c r="J81" i="49"/>
  <c r="M80" i="29"/>
  <c r="J80" i="49"/>
  <c r="M79" i="29"/>
  <c r="J79" i="49"/>
  <c r="M78" i="29"/>
  <c r="J78" i="49"/>
  <c r="M77" i="29"/>
  <c r="J77" i="49"/>
  <c r="M76" i="29"/>
  <c r="J76" i="49"/>
  <c r="M75" i="29"/>
  <c r="J75" i="49"/>
  <c r="M74" i="29"/>
  <c r="J74" i="49"/>
  <c r="M73" i="29"/>
  <c r="J73" i="49"/>
  <c r="M72" i="29"/>
  <c r="J72" i="49"/>
  <c r="M71" i="29"/>
  <c r="J71" i="49"/>
  <c r="M70" i="29"/>
  <c r="J70" i="49"/>
  <c r="M69" i="29"/>
  <c r="J69" i="49"/>
  <c r="M68" i="29"/>
  <c r="J68" i="49"/>
  <c r="M67" i="29"/>
  <c r="J67" i="49"/>
  <c r="M66" i="29"/>
  <c r="J66" i="49"/>
  <c r="M65" i="29"/>
  <c r="J65" i="49"/>
  <c r="M64" i="29"/>
  <c r="J64" i="49"/>
  <c r="M63" i="29"/>
  <c r="J63" i="49"/>
  <c r="M62" i="29"/>
  <c r="J62" i="49"/>
  <c r="M61" i="29"/>
  <c r="J61" i="49"/>
  <c r="M60" i="29"/>
  <c r="J60" i="49"/>
  <c r="M59" i="29"/>
  <c r="J59" i="49"/>
  <c r="M58" i="29"/>
  <c r="J58" i="49"/>
  <c r="M57" i="29"/>
  <c r="J57" i="49"/>
  <c r="M56" i="29"/>
  <c r="J56" i="49"/>
  <c r="M55" i="29"/>
  <c r="J55" i="49"/>
  <c r="M54" i="29"/>
  <c r="J54" i="49"/>
  <c r="M53" i="29"/>
  <c r="J53" i="49"/>
  <c r="M52" i="29"/>
  <c r="J52" i="49"/>
  <c r="M51" i="29"/>
  <c r="J51" i="49"/>
  <c r="M50" i="29"/>
  <c r="J50" i="49"/>
  <c r="M49" i="29"/>
  <c r="J49" i="49"/>
  <c r="M48" i="29"/>
  <c r="J48" i="49"/>
  <c r="M47" i="29"/>
  <c r="J47" i="49"/>
  <c r="M46" i="29"/>
  <c r="J46" i="49"/>
  <c r="M45" i="29"/>
  <c r="J45" i="49"/>
  <c r="M44" i="29"/>
  <c r="J44" i="49"/>
  <c r="M43" i="29"/>
  <c r="J43" i="49"/>
  <c r="M42" i="29"/>
  <c r="J42" i="49"/>
  <c r="M41" i="29"/>
  <c r="J41" i="49"/>
  <c r="M40" i="29"/>
  <c r="J40" i="49"/>
  <c r="M39" i="29"/>
  <c r="J39" i="49"/>
  <c r="M38" i="29"/>
  <c r="J38" i="49"/>
  <c r="M37" i="29"/>
  <c r="J37" i="49"/>
  <c r="M36" i="29"/>
  <c r="J36" i="49"/>
  <c r="M35" i="29"/>
  <c r="J35" i="49"/>
  <c r="M34" i="29"/>
  <c r="J34" i="49"/>
  <c r="M33" i="29"/>
  <c r="J33" i="49"/>
  <c r="M32" i="29"/>
  <c r="J32" i="49"/>
  <c r="M31" i="29"/>
  <c r="J31" i="49"/>
  <c r="M30" i="29"/>
  <c r="J30" i="49"/>
  <c r="M29" i="29"/>
  <c r="J29" i="49"/>
  <c r="M28" i="29"/>
  <c r="J28" i="49"/>
  <c r="M27" i="29"/>
  <c r="J27" i="49"/>
  <c r="M26" i="29"/>
  <c r="J26" i="49"/>
  <c r="M25" i="29"/>
  <c r="J25" i="49"/>
  <c r="M24" i="29"/>
  <c r="J24" i="49"/>
  <c r="M23" i="29"/>
  <c r="J23" i="49"/>
  <c r="M22" i="29"/>
  <c r="J22" i="49"/>
  <c r="M21" i="29"/>
  <c r="J21" i="49"/>
  <c r="M20" i="29"/>
  <c r="J20" i="49"/>
  <c r="M19" i="29"/>
  <c r="J19" i="49"/>
  <c r="M18" i="29"/>
  <c r="J18" i="49"/>
  <c r="M17" i="29"/>
  <c r="J17" i="49"/>
  <c r="M16" i="29"/>
  <c r="J16" i="49"/>
  <c r="M15" i="29"/>
  <c r="J15" i="49"/>
  <c r="M14" i="29"/>
  <c r="J14" i="49"/>
  <c r="M13" i="29"/>
  <c r="J13" i="49"/>
  <c r="M12" i="29"/>
  <c r="J12" i="49"/>
  <c r="M11" i="29"/>
  <c r="J11" i="49"/>
  <c r="M10" i="29"/>
  <c r="J10" i="49"/>
  <c r="M9" i="29"/>
  <c r="J9" i="49"/>
  <c r="M8" i="29"/>
  <c r="J8" i="49"/>
  <c r="M7" i="29"/>
  <c r="J7" i="49"/>
  <c r="M6" i="29"/>
  <c r="J6" i="49"/>
  <c r="M5" i="29"/>
  <c r="J5" i="49"/>
  <c r="M4" i="29"/>
  <c r="J4" i="49"/>
  <c r="M3" i="29"/>
  <c r="F190" i="48"/>
  <c r="F192" i="48" s="1"/>
  <c r="E190" i="48"/>
  <c r="J182" i="48"/>
  <c r="L181" i="29"/>
  <c r="J181" i="48"/>
  <c r="L180" i="29"/>
  <c r="J180" i="48"/>
  <c r="L179" i="29"/>
  <c r="J179" i="48"/>
  <c r="L178" i="29"/>
  <c r="J178" i="48"/>
  <c r="L177" i="29"/>
  <c r="J177" i="48"/>
  <c r="L176" i="29"/>
  <c r="J176" i="48"/>
  <c r="L175" i="29"/>
  <c r="J175" i="48"/>
  <c r="L174" i="29"/>
  <c r="J174" i="48"/>
  <c r="L173" i="29"/>
  <c r="J173" i="48"/>
  <c r="L172" i="29"/>
  <c r="J172" i="48"/>
  <c r="L171" i="29"/>
  <c r="J171" i="48"/>
  <c r="L170" i="29"/>
  <c r="J170" i="48"/>
  <c r="L169" i="29"/>
  <c r="J169" i="48"/>
  <c r="L168" i="29"/>
  <c r="J168" i="48"/>
  <c r="L167" i="29"/>
  <c r="J167" i="48"/>
  <c r="L166" i="29"/>
  <c r="J166" i="48"/>
  <c r="L165" i="29"/>
  <c r="J165" i="48"/>
  <c r="L164" i="29"/>
  <c r="J164" i="48"/>
  <c r="L163" i="29"/>
  <c r="J163" i="48"/>
  <c r="L162" i="29"/>
  <c r="J162" i="48"/>
  <c r="L161" i="29"/>
  <c r="J161" i="48"/>
  <c r="L160" i="29"/>
  <c r="J160" i="48"/>
  <c r="L159" i="29"/>
  <c r="J159" i="48"/>
  <c r="L158" i="29"/>
  <c r="J158" i="48"/>
  <c r="L157" i="29"/>
  <c r="J157" i="48"/>
  <c r="L156" i="29"/>
  <c r="J156" i="48"/>
  <c r="L155" i="29"/>
  <c r="J155" i="48"/>
  <c r="L154" i="29"/>
  <c r="J154" i="48"/>
  <c r="L153" i="29"/>
  <c r="J153" i="48"/>
  <c r="L152" i="29"/>
  <c r="J152" i="48"/>
  <c r="L151" i="29"/>
  <c r="L150" i="29"/>
  <c r="L149" i="29"/>
  <c r="J149" i="48"/>
  <c r="L148" i="29"/>
  <c r="J148" i="48"/>
  <c r="L147" i="29"/>
  <c r="J147" i="48"/>
  <c r="L146" i="29"/>
  <c r="J146" i="48"/>
  <c r="L145" i="29"/>
  <c r="J145" i="48"/>
  <c r="L144" i="29"/>
  <c r="J144" i="48"/>
  <c r="L143" i="29"/>
  <c r="J143" i="48"/>
  <c r="L142" i="29"/>
  <c r="J142" i="48"/>
  <c r="L141" i="29"/>
  <c r="J141" i="48"/>
  <c r="L140" i="29"/>
  <c r="J140" i="48"/>
  <c r="L139" i="29"/>
  <c r="J139" i="48"/>
  <c r="L138" i="29"/>
  <c r="J138" i="48"/>
  <c r="L137" i="29"/>
  <c r="J137" i="48"/>
  <c r="L136" i="29"/>
  <c r="J136" i="48"/>
  <c r="L135" i="29"/>
  <c r="J135" i="48"/>
  <c r="L134" i="29"/>
  <c r="J134" i="48"/>
  <c r="L133" i="29"/>
  <c r="J133" i="48"/>
  <c r="L132" i="29"/>
  <c r="J132" i="48"/>
  <c r="L131" i="29"/>
  <c r="J131" i="48"/>
  <c r="L130" i="29"/>
  <c r="J130" i="48"/>
  <c r="L129" i="29"/>
  <c r="J129" i="48"/>
  <c r="L128" i="29"/>
  <c r="J128" i="48"/>
  <c r="L127" i="29"/>
  <c r="J127" i="48"/>
  <c r="L126" i="29"/>
  <c r="J126" i="48"/>
  <c r="L125" i="29"/>
  <c r="J125" i="48"/>
  <c r="L124" i="29"/>
  <c r="J124" i="48"/>
  <c r="L123" i="29"/>
  <c r="J123" i="48"/>
  <c r="L122" i="29"/>
  <c r="J122" i="48"/>
  <c r="L121" i="29"/>
  <c r="J121" i="48"/>
  <c r="L120" i="29"/>
  <c r="J120" i="48"/>
  <c r="L119" i="29"/>
  <c r="J119" i="48"/>
  <c r="L118" i="29"/>
  <c r="J118" i="48"/>
  <c r="L117" i="29"/>
  <c r="J117" i="48"/>
  <c r="L116" i="29"/>
  <c r="J116" i="48"/>
  <c r="L115" i="29"/>
  <c r="J115" i="48"/>
  <c r="L114" i="29"/>
  <c r="J114" i="48"/>
  <c r="L113" i="29"/>
  <c r="J113" i="48"/>
  <c r="L112" i="29"/>
  <c r="J112" i="48"/>
  <c r="L111" i="29"/>
  <c r="J111" i="48"/>
  <c r="L110" i="29"/>
  <c r="J110" i="48"/>
  <c r="L109" i="29"/>
  <c r="J109" i="48"/>
  <c r="L108" i="29"/>
  <c r="J108" i="48"/>
  <c r="L107" i="29"/>
  <c r="J107" i="48"/>
  <c r="L106" i="29"/>
  <c r="J106" i="48"/>
  <c r="L105" i="29"/>
  <c r="J105" i="48"/>
  <c r="L104" i="29"/>
  <c r="J104" i="48"/>
  <c r="L103" i="29"/>
  <c r="J103" i="48"/>
  <c r="L102" i="29"/>
  <c r="J102" i="48"/>
  <c r="L101" i="29"/>
  <c r="J101" i="48"/>
  <c r="L100" i="29"/>
  <c r="J100" i="48"/>
  <c r="L99" i="29"/>
  <c r="J99" i="48"/>
  <c r="L98" i="29"/>
  <c r="J98" i="48"/>
  <c r="L97" i="29"/>
  <c r="J97" i="48"/>
  <c r="L96" i="29"/>
  <c r="J96" i="48"/>
  <c r="L95" i="29"/>
  <c r="J95" i="48"/>
  <c r="L94" i="29"/>
  <c r="J94" i="48"/>
  <c r="L93" i="29"/>
  <c r="J93" i="48"/>
  <c r="L92" i="29"/>
  <c r="J92" i="48"/>
  <c r="L91" i="29"/>
  <c r="J91" i="48"/>
  <c r="L90" i="29"/>
  <c r="J90" i="48"/>
  <c r="L89" i="29"/>
  <c r="J89" i="48"/>
  <c r="L88" i="29"/>
  <c r="J88" i="48"/>
  <c r="L87" i="29"/>
  <c r="J87" i="48"/>
  <c r="L86" i="29"/>
  <c r="J86" i="48"/>
  <c r="L85" i="29"/>
  <c r="J85" i="48"/>
  <c r="L84" i="29"/>
  <c r="J84" i="48"/>
  <c r="L83" i="29"/>
  <c r="J83" i="48"/>
  <c r="L82" i="29"/>
  <c r="J82" i="48"/>
  <c r="L81" i="29"/>
  <c r="J81" i="48"/>
  <c r="L80" i="29"/>
  <c r="J80" i="48"/>
  <c r="L79" i="29"/>
  <c r="J79" i="48"/>
  <c r="L78" i="29"/>
  <c r="J78" i="48"/>
  <c r="L77" i="29"/>
  <c r="J77" i="48"/>
  <c r="L76" i="29"/>
  <c r="J76" i="48"/>
  <c r="L75" i="29"/>
  <c r="J75" i="48"/>
  <c r="L74" i="29"/>
  <c r="J74" i="48"/>
  <c r="L73" i="29"/>
  <c r="J73" i="48"/>
  <c r="L72" i="29"/>
  <c r="J72" i="48"/>
  <c r="L71" i="29"/>
  <c r="J71" i="48"/>
  <c r="L70" i="29"/>
  <c r="J70" i="48"/>
  <c r="L69" i="29"/>
  <c r="J69" i="48"/>
  <c r="L68" i="29"/>
  <c r="J68" i="48"/>
  <c r="L67" i="29"/>
  <c r="J67" i="48"/>
  <c r="L66" i="29"/>
  <c r="J66" i="48"/>
  <c r="L65" i="29"/>
  <c r="J65" i="48"/>
  <c r="L64" i="29"/>
  <c r="J64" i="48"/>
  <c r="L63" i="29"/>
  <c r="J63" i="48"/>
  <c r="L62" i="29"/>
  <c r="J62" i="48"/>
  <c r="L61" i="29"/>
  <c r="J61" i="48"/>
  <c r="L60" i="29"/>
  <c r="J60" i="48"/>
  <c r="L59" i="29"/>
  <c r="J59" i="48"/>
  <c r="L58" i="29"/>
  <c r="J58" i="48"/>
  <c r="L57" i="29"/>
  <c r="J57" i="48"/>
  <c r="L56" i="29"/>
  <c r="J56" i="48"/>
  <c r="L55" i="29"/>
  <c r="J55" i="48"/>
  <c r="L54" i="29"/>
  <c r="J54" i="48"/>
  <c r="L53" i="29"/>
  <c r="J53" i="48"/>
  <c r="L52" i="29"/>
  <c r="J52" i="48"/>
  <c r="L51" i="29"/>
  <c r="J51" i="48"/>
  <c r="L50" i="29"/>
  <c r="J50" i="48"/>
  <c r="L49" i="29"/>
  <c r="J49" i="48"/>
  <c r="L48" i="29"/>
  <c r="J48" i="48"/>
  <c r="L47" i="29"/>
  <c r="J47" i="48"/>
  <c r="L46" i="29"/>
  <c r="J46" i="48"/>
  <c r="L45" i="29"/>
  <c r="J45" i="48"/>
  <c r="L44" i="29"/>
  <c r="J44" i="48"/>
  <c r="L43" i="29"/>
  <c r="J43" i="48"/>
  <c r="L42" i="29"/>
  <c r="J42" i="48"/>
  <c r="L41" i="29"/>
  <c r="J41" i="48"/>
  <c r="L40" i="29"/>
  <c r="J40" i="48"/>
  <c r="L39" i="29"/>
  <c r="J39" i="48"/>
  <c r="L38" i="29"/>
  <c r="J38" i="48"/>
  <c r="L37" i="29"/>
  <c r="J37" i="48"/>
  <c r="L36" i="29"/>
  <c r="J36" i="48"/>
  <c r="L35" i="29"/>
  <c r="J35" i="48"/>
  <c r="L34" i="29"/>
  <c r="J34" i="48"/>
  <c r="L33" i="29"/>
  <c r="J33" i="48"/>
  <c r="L32" i="29"/>
  <c r="J32" i="48"/>
  <c r="L31" i="29"/>
  <c r="J31" i="48"/>
  <c r="L30" i="29"/>
  <c r="J30" i="48"/>
  <c r="L29" i="29"/>
  <c r="J29" i="48"/>
  <c r="L28" i="29"/>
  <c r="J28" i="48"/>
  <c r="L27" i="29"/>
  <c r="J27" i="48"/>
  <c r="L26" i="29"/>
  <c r="J26" i="48"/>
  <c r="L25" i="29"/>
  <c r="J25" i="48"/>
  <c r="L24" i="29"/>
  <c r="J24" i="48"/>
  <c r="L23" i="29"/>
  <c r="J23" i="48"/>
  <c r="L22" i="29"/>
  <c r="J22" i="48"/>
  <c r="L21" i="29"/>
  <c r="J21" i="48"/>
  <c r="L20" i="29"/>
  <c r="J20" i="48"/>
  <c r="L19" i="29"/>
  <c r="J19" i="48"/>
  <c r="L18" i="29"/>
  <c r="J18" i="48"/>
  <c r="L17" i="29"/>
  <c r="J17" i="48"/>
  <c r="L16" i="29"/>
  <c r="J16" i="48"/>
  <c r="L15" i="29"/>
  <c r="J15" i="48"/>
  <c r="L14" i="29"/>
  <c r="J14" i="48"/>
  <c r="L13" i="29"/>
  <c r="J13" i="48"/>
  <c r="L12" i="29"/>
  <c r="J12" i="48"/>
  <c r="L11" i="29"/>
  <c r="J11" i="48"/>
  <c r="L10" i="29"/>
  <c r="J10" i="48"/>
  <c r="L9" i="29"/>
  <c r="J9" i="48"/>
  <c r="L8" i="29"/>
  <c r="J8" i="48"/>
  <c r="L7" i="29"/>
  <c r="J7" i="48"/>
  <c r="L6" i="29"/>
  <c r="J6" i="48"/>
  <c r="L5" i="29"/>
  <c r="J5" i="48"/>
  <c r="L4" i="29"/>
  <c r="J4" i="48"/>
  <c r="L3" i="29"/>
  <c r="F190" i="47"/>
  <c r="E190" i="47"/>
  <c r="G189" i="47"/>
  <c r="G188" i="47"/>
  <c r="J182" i="47"/>
  <c r="K181" i="29"/>
  <c r="J181" i="47"/>
  <c r="K180" i="29"/>
  <c r="J180" i="47"/>
  <c r="K179" i="29"/>
  <c r="J179" i="47"/>
  <c r="K178" i="29"/>
  <c r="J178" i="47"/>
  <c r="K177" i="29"/>
  <c r="J177" i="47"/>
  <c r="K176" i="29"/>
  <c r="J176" i="47"/>
  <c r="K175" i="29"/>
  <c r="J175" i="47"/>
  <c r="K174" i="29"/>
  <c r="J174" i="47"/>
  <c r="K173" i="29"/>
  <c r="J173" i="47"/>
  <c r="K172" i="29"/>
  <c r="J172" i="47"/>
  <c r="K171" i="29"/>
  <c r="J171" i="47"/>
  <c r="K170" i="29"/>
  <c r="J170" i="47"/>
  <c r="K169" i="29"/>
  <c r="J169" i="47"/>
  <c r="K168" i="29"/>
  <c r="J168" i="47"/>
  <c r="K167" i="29"/>
  <c r="J167" i="47"/>
  <c r="K166" i="29"/>
  <c r="J166" i="47"/>
  <c r="K165" i="29"/>
  <c r="J165" i="47"/>
  <c r="K164" i="29"/>
  <c r="J164" i="47"/>
  <c r="K163" i="29"/>
  <c r="J163" i="47"/>
  <c r="K162" i="29"/>
  <c r="J162" i="47"/>
  <c r="K161" i="29"/>
  <c r="J161" i="47"/>
  <c r="K160" i="29"/>
  <c r="J160" i="47"/>
  <c r="K159" i="29"/>
  <c r="J159" i="47"/>
  <c r="K158" i="29"/>
  <c r="J158" i="47"/>
  <c r="K157" i="29"/>
  <c r="J157" i="47"/>
  <c r="K156" i="29"/>
  <c r="J156" i="47"/>
  <c r="K155" i="29"/>
  <c r="J155" i="47"/>
  <c r="K154" i="29"/>
  <c r="J154" i="47"/>
  <c r="K153" i="29"/>
  <c r="J153" i="47"/>
  <c r="K152" i="29"/>
  <c r="J152" i="47"/>
  <c r="K151" i="29"/>
  <c r="J151" i="47"/>
  <c r="K150" i="29"/>
  <c r="J150" i="47"/>
  <c r="K149" i="29"/>
  <c r="J149" i="47"/>
  <c r="K148" i="29"/>
  <c r="J148" i="47"/>
  <c r="K147" i="29"/>
  <c r="J147" i="47"/>
  <c r="K146" i="29"/>
  <c r="J146" i="47"/>
  <c r="K145" i="29"/>
  <c r="J145" i="47"/>
  <c r="K144" i="29"/>
  <c r="J144" i="47"/>
  <c r="K143" i="29"/>
  <c r="J143" i="47"/>
  <c r="K142" i="29"/>
  <c r="J142" i="47"/>
  <c r="K141" i="29"/>
  <c r="J141" i="47"/>
  <c r="K140" i="29"/>
  <c r="J140" i="47"/>
  <c r="K139" i="29"/>
  <c r="J139" i="47"/>
  <c r="K138" i="29"/>
  <c r="J138" i="47"/>
  <c r="K137" i="29"/>
  <c r="J137" i="47"/>
  <c r="K136" i="29"/>
  <c r="J136" i="47"/>
  <c r="K135" i="29"/>
  <c r="J135" i="47"/>
  <c r="K134" i="29"/>
  <c r="J134" i="47"/>
  <c r="K133" i="29"/>
  <c r="J133" i="47"/>
  <c r="K132" i="29"/>
  <c r="J132" i="47"/>
  <c r="K131" i="29"/>
  <c r="J131" i="47"/>
  <c r="K130" i="29"/>
  <c r="J130" i="47"/>
  <c r="J129" i="47"/>
  <c r="J128" i="47"/>
  <c r="J127" i="47"/>
  <c r="K126" i="29"/>
  <c r="J126" i="47"/>
  <c r="K125" i="29"/>
  <c r="J125" i="47"/>
  <c r="K124" i="29"/>
  <c r="J124" i="47"/>
  <c r="K123" i="29"/>
  <c r="J123" i="47"/>
  <c r="K122" i="29"/>
  <c r="J122" i="47"/>
  <c r="K121" i="29"/>
  <c r="J121" i="47"/>
  <c r="K120" i="29"/>
  <c r="J120" i="47"/>
  <c r="K119" i="29"/>
  <c r="J119" i="47"/>
  <c r="K118" i="29"/>
  <c r="J118" i="47"/>
  <c r="K117" i="29"/>
  <c r="J117" i="47"/>
  <c r="K116" i="29"/>
  <c r="J116" i="47"/>
  <c r="K115" i="29"/>
  <c r="J115" i="47"/>
  <c r="K114" i="29"/>
  <c r="J114" i="47"/>
  <c r="K113" i="29"/>
  <c r="J113" i="47"/>
  <c r="K112" i="29"/>
  <c r="J112" i="47"/>
  <c r="K111" i="29"/>
  <c r="J111" i="47"/>
  <c r="K110" i="29"/>
  <c r="J110" i="47"/>
  <c r="K109" i="29"/>
  <c r="J109" i="47"/>
  <c r="K108" i="29"/>
  <c r="J108" i="47"/>
  <c r="K107" i="29"/>
  <c r="J107" i="47"/>
  <c r="K106" i="29"/>
  <c r="J106" i="47"/>
  <c r="K105" i="29"/>
  <c r="J105" i="47"/>
  <c r="K104" i="29"/>
  <c r="J104" i="47"/>
  <c r="K103" i="29"/>
  <c r="J103" i="47"/>
  <c r="K102" i="29"/>
  <c r="J102" i="47"/>
  <c r="K101" i="29"/>
  <c r="J101" i="47"/>
  <c r="K100" i="29"/>
  <c r="J100" i="47"/>
  <c r="K99" i="29"/>
  <c r="J99" i="47"/>
  <c r="K98" i="29"/>
  <c r="J98" i="47"/>
  <c r="K97" i="29"/>
  <c r="J97" i="47"/>
  <c r="K96" i="29"/>
  <c r="J96" i="47"/>
  <c r="K95" i="29"/>
  <c r="J95" i="47"/>
  <c r="K94" i="29"/>
  <c r="J94" i="47"/>
  <c r="K93" i="29"/>
  <c r="J93" i="47"/>
  <c r="K92" i="29"/>
  <c r="J92" i="47"/>
  <c r="K91" i="29"/>
  <c r="J91" i="47"/>
  <c r="K90" i="29"/>
  <c r="J90" i="47"/>
  <c r="K89" i="29"/>
  <c r="J89" i="47"/>
  <c r="K88" i="29"/>
  <c r="J88" i="47"/>
  <c r="K87" i="29"/>
  <c r="J87" i="47"/>
  <c r="K86" i="29"/>
  <c r="J86" i="47"/>
  <c r="K85" i="29"/>
  <c r="J85" i="47"/>
  <c r="K84" i="29"/>
  <c r="J84" i="47"/>
  <c r="K83" i="29"/>
  <c r="J83" i="47"/>
  <c r="K82" i="29"/>
  <c r="J82" i="47"/>
  <c r="K81" i="29"/>
  <c r="J81" i="47"/>
  <c r="K80" i="29"/>
  <c r="J80" i="47"/>
  <c r="K79" i="29"/>
  <c r="J79" i="47"/>
  <c r="K78" i="29"/>
  <c r="J78" i="47"/>
  <c r="K77" i="29"/>
  <c r="J77" i="47"/>
  <c r="K76" i="29"/>
  <c r="J76" i="47"/>
  <c r="K75" i="29"/>
  <c r="J75" i="47"/>
  <c r="K74" i="29"/>
  <c r="J74" i="47"/>
  <c r="K73" i="29"/>
  <c r="J73" i="47"/>
  <c r="K72" i="29"/>
  <c r="J72" i="47"/>
  <c r="K71" i="29"/>
  <c r="J71" i="47"/>
  <c r="K70" i="29"/>
  <c r="J70" i="47"/>
  <c r="K69" i="29"/>
  <c r="J69" i="47"/>
  <c r="K68" i="29"/>
  <c r="J68" i="47"/>
  <c r="K67" i="29"/>
  <c r="J67" i="47"/>
  <c r="K66" i="29"/>
  <c r="J66" i="47"/>
  <c r="K65" i="29"/>
  <c r="J65" i="47"/>
  <c r="K64" i="29"/>
  <c r="J64" i="47"/>
  <c r="K63" i="29"/>
  <c r="J63" i="47"/>
  <c r="K62" i="29"/>
  <c r="J62" i="47"/>
  <c r="K61" i="29"/>
  <c r="J61" i="47"/>
  <c r="K60" i="29"/>
  <c r="J60" i="47"/>
  <c r="K59" i="29"/>
  <c r="J59" i="47"/>
  <c r="K58" i="29"/>
  <c r="J58" i="47"/>
  <c r="K57" i="29"/>
  <c r="J57" i="47"/>
  <c r="K56" i="29"/>
  <c r="J56" i="47"/>
  <c r="K55" i="29"/>
  <c r="J55" i="47"/>
  <c r="K54" i="29"/>
  <c r="J54" i="47"/>
  <c r="K53" i="29"/>
  <c r="J53" i="47"/>
  <c r="K52" i="29"/>
  <c r="J52" i="47"/>
  <c r="K51" i="29"/>
  <c r="J51" i="47"/>
  <c r="K50" i="29"/>
  <c r="J50" i="47"/>
  <c r="K49" i="29"/>
  <c r="J49" i="47"/>
  <c r="K48" i="29"/>
  <c r="J48" i="47"/>
  <c r="K47" i="29"/>
  <c r="J47" i="47"/>
  <c r="K46" i="29"/>
  <c r="J46" i="47"/>
  <c r="K45" i="29"/>
  <c r="J45" i="47"/>
  <c r="K44" i="29"/>
  <c r="J44" i="47"/>
  <c r="K43" i="29"/>
  <c r="J43" i="47"/>
  <c r="K42" i="29"/>
  <c r="J42" i="47"/>
  <c r="K41" i="29"/>
  <c r="J41" i="47"/>
  <c r="K40" i="29"/>
  <c r="J40" i="47"/>
  <c r="K39" i="29"/>
  <c r="J39" i="47"/>
  <c r="K38" i="29"/>
  <c r="J38" i="47"/>
  <c r="K37" i="29"/>
  <c r="J37" i="47"/>
  <c r="K36" i="29"/>
  <c r="J36" i="47"/>
  <c r="K35" i="29"/>
  <c r="J35" i="47"/>
  <c r="K34" i="29"/>
  <c r="J34" i="47"/>
  <c r="K33" i="29"/>
  <c r="J33" i="47"/>
  <c r="K32" i="29"/>
  <c r="J32" i="47"/>
  <c r="K31" i="29"/>
  <c r="J31" i="47"/>
  <c r="K30" i="29"/>
  <c r="J30" i="47"/>
  <c r="K29" i="29"/>
  <c r="J29" i="47"/>
  <c r="K28" i="29"/>
  <c r="J28" i="47"/>
  <c r="K27" i="29"/>
  <c r="J27" i="47"/>
  <c r="K26" i="29"/>
  <c r="J26" i="47"/>
  <c r="K25" i="29"/>
  <c r="J25" i="47"/>
  <c r="K24" i="29"/>
  <c r="J24" i="47"/>
  <c r="K23" i="29"/>
  <c r="J23" i="47"/>
  <c r="K22" i="29"/>
  <c r="J22" i="47"/>
  <c r="K21" i="29"/>
  <c r="J21" i="47"/>
  <c r="K20" i="29"/>
  <c r="J20" i="47"/>
  <c r="K19" i="29"/>
  <c r="J19" i="47"/>
  <c r="K18" i="29"/>
  <c r="J18" i="47"/>
  <c r="K17" i="29"/>
  <c r="J17" i="47"/>
  <c r="K16" i="29"/>
  <c r="J16" i="47"/>
  <c r="K15" i="29"/>
  <c r="J15" i="47"/>
  <c r="K14" i="29"/>
  <c r="J14" i="47"/>
  <c r="K13" i="29"/>
  <c r="J13" i="47"/>
  <c r="K12" i="29"/>
  <c r="J12" i="47"/>
  <c r="K11" i="29"/>
  <c r="J11" i="47"/>
  <c r="K10" i="29"/>
  <c r="J10" i="47"/>
  <c r="K9" i="29"/>
  <c r="J9" i="47"/>
  <c r="K8" i="29"/>
  <c r="J8" i="47"/>
  <c r="K7" i="29"/>
  <c r="J7" i="47"/>
  <c r="K6" i="29"/>
  <c r="J6" i="47"/>
  <c r="K5" i="29"/>
  <c r="J5" i="47"/>
  <c r="J4" i="47"/>
  <c r="K3" i="29"/>
  <c r="F190" i="45"/>
  <c r="F192" i="45" s="1"/>
  <c r="E190" i="45"/>
  <c r="G188" i="45"/>
  <c r="J182" i="45"/>
  <c r="J181" i="29"/>
  <c r="J181" i="45"/>
  <c r="J180" i="29"/>
  <c r="J180" i="45"/>
  <c r="J179" i="29"/>
  <c r="J179" i="45"/>
  <c r="J178" i="29"/>
  <c r="J178" i="45"/>
  <c r="J177" i="29"/>
  <c r="J177" i="45"/>
  <c r="J176" i="29"/>
  <c r="J176" i="45"/>
  <c r="J175" i="29"/>
  <c r="J175" i="45"/>
  <c r="J174" i="29"/>
  <c r="J174" i="45"/>
  <c r="J173" i="29"/>
  <c r="J173" i="45"/>
  <c r="J172" i="29"/>
  <c r="J172" i="45"/>
  <c r="J171" i="29"/>
  <c r="J171" i="45"/>
  <c r="J170" i="29"/>
  <c r="J170" i="45"/>
  <c r="J169" i="29"/>
  <c r="J169" i="45"/>
  <c r="J168" i="29"/>
  <c r="J168" i="45"/>
  <c r="J167" i="29"/>
  <c r="J167" i="45"/>
  <c r="J166" i="29"/>
  <c r="J166" i="45"/>
  <c r="J165" i="29"/>
  <c r="J165" i="45"/>
  <c r="J164" i="29"/>
  <c r="J164" i="45"/>
  <c r="J163" i="29"/>
  <c r="J163" i="45"/>
  <c r="J162" i="29"/>
  <c r="J162" i="45"/>
  <c r="J161" i="29"/>
  <c r="J161" i="45"/>
  <c r="J160" i="29"/>
  <c r="J160" i="45"/>
  <c r="J159" i="29"/>
  <c r="J159" i="45"/>
  <c r="J158" i="29"/>
  <c r="J158" i="45"/>
  <c r="J157" i="29"/>
  <c r="J157" i="45"/>
  <c r="J156" i="29"/>
  <c r="J156" i="45"/>
  <c r="J155" i="29"/>
  <c r="J155" i="45"/>
  <c r="J154" i="29"/>
  <c r="J154" i="45"/>
  <c r="J153" i="29"/>
  <c r="J153" i="45"/>
  <c r="J152" i="29"/>
  <c r="J152" i="45"/>
  <c r="J151" i="29"/>
  <c r="J151" i="45"/>
  <c r="J150" i="29"/>
  <c r="J150" i="45"/>
  <c r="J149" i="29"/>
  <c r="J149" i="45"/>
  <c r="J148" i="29"/>
  <c r="J148" i="45"/>
  <c r="J147" i="29"/>
  <c r="J147" i="45"/>
  <c r="J146" i="29"/>
  <c r="J146" i="45"/>
  <c r="J145" i="29"/>
  <c r="J145" i="45"/>
  <c r="J144" i="29"/>
  <c r="J144" i="45"/>
  <c r="J143" i="29"/>
  <c r="J143" i="45"/>
  <c r="J142" i="29"/>
  <c r="J142" i="45"/>
  <c r="J141" i="29"/>
  <c r="J141" i="45"/>
  <c r="J140" i="29"/>
  <c r="J140" i="45"/>
  <c r="J139" i="29"/>
  <c r="J139" i="45"/>
  <c r="J138" i="29"/>
  <c r="J138" i="45"/>
  <c r="J137" i="29"/>
  <c r="J137" i="45"/>
  <c r="J136" i="29"/>
  <c r="J136" i="45"/>
  <c r="J135" i="29"/>
  <c r="J135" i="45"/>
  <c r="J134" i="29"/>
  <c r="J134" i="45"/>
  <c r="J133" i="29"/>
  <c r="J133" i="45"/>
  <c r="J132" i="29"/>
  <c r="J132" i="45"/>
  <c r="J131" i="29"/>
  <c r="J131" i="45"/>
  <c r="J130" i="45"/>
  <c r="J129" i="45"/>
  <c r="J128" i="45"/>
  <c r="J127" i="29"/>
  <c r="J127" i="45"/>
  <c r="J126" i="29"/>
  <c r="J126" i="45"/>
  <c r="J125" i="29"/>
  <c r="J125" i="45"/>
  <c r="J124" i="45"/>
  <c r="J123" i="29"/>
  <c r="J123" i="45"/>
  <c r="J122" i="29"/>
  <c r="J122" i="45"/>
  <c r="J121" i="29"/>
  <c r="J121" i="45"/>
  <c r="J120" i="29"/>
  <c r="J120" i="45"/>
  <c r="J119" i="29"/>
  <c r="J119" i="45"/>
  <c r="J118" i="29"/>
  <c r="J118" i="45"/>
  <c r="J117" i="29"/>
  <c r="J117" i="45"/>
  <c r="J116" i="29"/>
  <c r="J116" i="45"/>
  <c r="J115" i="29"/>
  <c r="J115" i="45"/>
  <c r="J114" i="29"/>
  <c r="J114" i="45"/>
  <c r="J113" i="29"/>
  <c r="J113" i="45"/>
  <c r="J112" i="29"/>
  <c r="J112" i="45"/>
  <c r="J111" i="29"/>
  <c r="J111" i="45"/>
  <c r="J110" i="29"/>
  <c r="J110" i="45"/>
  <c r="J109" i="29"/>
  <c r="J109" i="45"/>
  <c r="J108" i="29"/>
  <c r="J108" i="45"/>
  <c r="J107" i="29"/>
  <c r="J107" i="45"/>
  <c r="J106" i="29"/>
  <c r="J106" i="45"/>
  <c r="J105" i="29"/>
  <c r="J105" i="45"/>
  <c r="J104" i="29"/>
  <c r="J104" i="45"/>
  <c r="J103" i="29"/>
  <c r="J103" i="45"/>
  <c r="J102" i="29"/>
  <c r="J102" i="45"/>
  <c r="J101" i="29"/>
  <c r="J101" i="45"/>
  <c r="J100" i="29"/>
  <c r="J100" i="45"/>
  <c r="J99" i="29"/>
  <c r="J99" i="45"/>
  <c r="J98" i="29"/>
  <c r="J98" i="45"/>
  <c r="J97" i="29"/>
  <c r="J97" i="45"/>
  <c r="J96" i="29"/>
  <c r="J96" i="45"/>
  <c r="J95" i="29"/>
  <c r="J95" i="45"/>
  <c r="J94" i="29"/>
  <c r="J94" i="45"/>
  <c r="J93" i="29"/>
  <c r="J93" i="45"/>
  <c r="J92" i="29"/>
  <c r="J92" i="45"/>
  <c r="J91" i="29"/>
  <c r="J91" i="45"/>
  <c r="J90" i="29"/>
  <c r="J90" i="45"/>
  <c r="J89" i="29"/>
  <c r="J89" i="45"/>
  <c r="J88" i="29"/>
  <c r="J88" i="45"/>
  <c r="J87" i="29"/>
  <c r="J87" i="45"/>
  <c r="J86" i="29"/>
  <c r="J86" i="45"/>
  <c r="J85" i="29"/>
  <c r="J85" i="45"/>
  <c r="J84" i="29"/>
  <c r="J84" i="45"/>
  <c r="J83" i="29"/>
  <c r="J83" i="45"/>
  <c r="J82" i="29"/>
  <c r="J82" i="45"/>
  <c r="J81" i="29"/>
  <c r="J81" i="45"/>
  <c r="J80" i="29"/>
  <c r="J80" i="45"/>
  <c r="J79" i="29"/>
  <c r="J79" i="45"/>
  <c r="J78" i="29"/>
  <c r="J78" i="45"/>
  <c r="J77" i="29"/>
  <c r="J77" i="45"/>
  <c r="J76" i="29"/>
  <c r="J76" i="45"/>
  <c r="J75" i="29"/>
  <c r="J75" i="45"/>
  <c r="J74" i="29"/>
  <c r="J74" i="45"/>
  <c r="J73" i="29"/>
  <c r="J73" i="45"/>
  <c r="J72" i="29"/>
  <c r="J72" i="45"/>
  <c r="J71" i="29"/>
  <c r="J71" i="45"/>
  <c r="J70" i="29"/>
  <c r="J70" i="45"/>
  <c r="J69" i="29"/>
  <c r="J69" i="45"/>
  <c r="J68" i="29"/>
  <c r="J68" i="45"/>
  <c r="J67" i="29"/>
  <c r="J67" i="45"/>
  <c r="J66" i="29"/>
  <c r="J66" i="45"/>
  <c r="J65" i="29"/>
  <c r="J65" i="45"/>
  <c r="J64" i="29"/>
  <c r="J64" i="45"/>
  <c r="J63" i="29"/>
  <c r="J63" i="45"/>
  <c r="J62" i="29"/>
  <c r="J62" i="45"/>
  <c r="J61" i="29"/>
  <c r="J61" i="45"/>
  <c r="J60" i="29"/>
  <c r="J60" i="45"/>
  <c r="J59" i="29"/>
  <c r="J59" i="45"/>
  <c r="J58" i="29"/>
  <c r="J58" i="45"/>
  <c r="J57" i="29"/>
  <c r="J57" i="45"/>
  <c r="J56" i="29"/>
  <c r="J56" i="45"/>
  <c r="J55" i="29"/>
  <c r="J55" i="45"/>
  <c r="J54" i="29"/>
  <c r="J54" i="45"/>
  <c r="J53" i="29"/>
  <c r="J53" i="45"/>
  <c r="J52" i="29"/>
  <c r="J52" i="45"/>
  <c r="J51" i="29"/>
  <c r="J51" i="45"/>
  <c r="J50" i="29"/>
  <c r="J50" i="45"/>
  <c r="J49" i="29"/>
  <c r="J49" i="45"/>
  <c r="J48" i="29"/>
  <c r="J48" i="45"/>
  <c r="J47" i="29"/>
  <c r="J47" i="45"/>
  <c r="J46" i="29"/>
  <c r="J46" i="45"/>
  <c r="J45" i="29"/>
  <c r="J45" i="45"/>
  <c r="J44" i="29"/>
  <c r="J44" i="45"/>
  <c r="J43" i="29"/>
  <c r="J43" i="45"/>
  <c r="J42" i="29"/>
  <c r="J42" i="45"/>
  <c r="J41" i="29"/>
  <c r="J41" i="45"/>
  <c r="J40" i="29"/>
  <c r="J40" i="45"/>
  <c r="J39" i="29"/>
  <c r="J39" i="45"/>
  <c r="J38" i="29"/>
  <c r="J38" i="45"/>
  <c r="J37" i="29"/>
  <c r="J37" i="45"/>
  <c r="J36" i="29"/>
  <c r="J36" i="45"/>
  <c r="J35" i="29"/>
  <c r="J35" i="45"/>
  <c r="J34" i="29"/>
  <c r="J34" i="45"/>
  <c r="J33" i="29"/>
  <c r="J33" i="45"/>
  <c r="J32" i="29"/>
  <c r="J32" i="45"/>
  <c r="J31" i="29"/>
  <c r="J31" i="45"/>
  <c r="J30" i="29"/>
  <c r="J30" i="45"/>
  <c r="J29" i="29"/>
  <c r="J29" i="45"/>
  <c r="J28" i="29"/>
  <c r="J28" i="45"/>
  <c r="J27" i="29"/>
  <c r="J27" i="45"/>
  <c r="J26" i="29"/>
  <c r="J26" i="45"/>
  <c r="J25" i="29"/>
  <c r="J25" i="45"/>
  <c r="J24" i="29"/>
  <c r="J24" i="45"/>
  <c r="J23" i="29"/>
  <c r="J23" i="45"/>
  <c r="J22" i="29"/>
  <c r="J22" i="45"/>
  <c r="J21" i="29"/>
  <c r="J21" i="45"/>
  <c r="J20" i="29"/>
  <c r="J20" i="45"/>
  <c r="J19" i="29"/>
  <c r="J19" i="45"/>
  <c r="J18" i="29"/>
  <c r="J18" i="45"/>
  <c r="J17" i="29"/>
  <c r="J17" i="45"/>
  <c r="J16" i="29"/>
  <c r="J16" i="45"/>
  <c r="J15" i="29"/>
  <c r="J15" i="45"/>
  <c r="J14" i="29"/>
  <c r="J14" i="45"/>
  <c r="J13" i="29"/>
  <c r="J13" i="45"/>
  <c r="J12" i="29"/>
  <c r="J12" i="45"/>
  <c r="J11" i="29"/>
  <c r="J11" i="45"/>
  <c r="J10" i="29"/>
  <c r="J10" i="45"/>
  <c r="J9" i="29"/>
  <c r="J9" i="45"/>
  <c r="J8" i="29"/>
  <c r="J8" i="45"/>
  <c r="J7" i="29"/>
  <c r="J7" i="45"/>
  <c r="J6" i="29"/>
  <c r="J6" i="45"/>
  <c r="J5" i="29"/>
  <c r="J5" i="45"/>
  <c r="J4" i="29"/>
  <c r="J4" i="45"/>
  <c r="J3" i="29"/>
  <c r="J2" i="29"/>
  <c r="F190" i="44"/>
  <c r="F192" i="44" s="1"/>
  <c r="E190" i="44"/>
  <c r="J182" i="44"/>
  <c r="I181" i="29"/>
  <c r="J181" i="44"/>
  <c r="I180" i="29"/>
  <c r="J180" i="44"/>
  <c r="I179" i="29"/>
  <c r="J179" i="44"/>
  <c r="I178" i="29"/>
  <c r="J178" i="44"/>
  <c r="I177" i="29"/>
  <c r="J177" i="44"/>
  <c r="I176" i="29"/>
  <c r="J176" i="44"/>
  <c r="I175" i="29"/>
  <c r="J175" i="44"/>
  <c r="I174" i="29"/>
  <c r="J174" i="44"/>
  <c r="I173" i="29"/>
  <c r="J173" i="44"/>
  <c r="I172" i="29"/>
  <c r="J172" i="44"/>
  <c r="I171" i="29"/>
  <c r="J171" i="44"/>
  <c r="I170" i="29"/>
  <c r="J170" i="44"/>
  <c r="I169" i="29"/>
  <c r="J169" i="44"/>
  <c r="I168" i="29"/>
  <c r="J168" i="44"/>
  <c r="I167" i="29"/>
  <c r="J167" i="44"/>
  <c r="I166" i="29"/>
  <c r="J166" i="44"/>
  <c r="I165" i="29"/>
  <c r="J165" i="44"/>
  <c r="I164" i="29"/>
  <c r="J164" i="44"/>
  <c r="I163" i="29"/>
  <c r="J163" i="44"/>
  <c r="I162" i="29"/>
  <c r="J162" i="44"/>
  <c r="I161" i="29"/>
  <c r="J161" i="44"/>
  <c r="I160" i="29"/>
  <c r="J160" i="44"/>
  <c r="I159" i="29"/>
  <c r="J159" i="44"/>
  <c r="I158" i="29"/>
  <c r="J158" i="44"/>
  <c r="I157" i="29"/>
  <c r="J157" i="44"/>
  <c r="I156" i="29"/>
  <c r="J156" i="44"/>
  <c r="I155" i="29"/>
  <c r="J155" i="44"/>
  <c r="I154" i="29"/>
  <c r="J154" i="44"/>
  <c r="I153" i="29"/>
  <c r="J153" i="44"/>
  <c r="I152" i="29"/>
  <c r="J152" i="44"/>
  <c r="I151" i="29"/>
  <c r="J151" i="44"/>
  <c r="I150" i="29"/>
  <c r="J150" i="44"/>
  <c r="I149" i="29"/>
  <c r="J149" i="44"/>
  <c r="I148" i="29"/>
  <c r="J148" i="44"/>
  <c r="I147" i="29"/>
  <c r="J147" i="44"/>
  <c r="I146" i="29"/>
  <c r="J146" i="44"/>
  <c r="I145" i="29"/>
  <c r="J145" i="44"/>
  <c r="I144" i="29"/>
  <c r="J144" i="44"/>
  <c r="I143" i="29"/>
  <c r="J143" i="44"/>
  <c r="I142" i="29"/>
  <c r="J142" i="44"/>
  <c r="I141" i="29"/>
  <c r="J141" i="44"/>
  <c r="I140" i="29"/>
  <c r="J140" i="44"/>
  <c r="I139" i="29"/>
  <c r="J139" i="44"/>
  <c r="I138" i="29"/>
  <c r="J138" i="44"/>
  <c r="I137" i="29"/>
  <c r="J137" i="44"/>
  <c r="I136" i="29"/>
  <c r="J136" i="44"/>
  <c r="I135" i="29"/>
  <c r="J135" i="44"/>
  <c r="I134" i="29"/>
  <c r="J134" i="44"/>
  <c r="I133" i="29"/>
  <c r="J133" i="44"/>
  <c r="I132" i="29"/>
  <c r="J132" i="44"/>
  <c r="I131" i="29"/>
  <c r="J131" i="44"/>
  <c r="I130" i="29"/>
  <c r="J130" i="44"/>
  <c r="I129" i="29"/>
  <c r="J129" i="44"/>
  <c r="I128" i="29"/>
  <c r="J128" i="44"/>
  <c r="I127" i="29"/>
  <c r="J127" i="44"/>
  <c r="I126" i="29"/>
  <c r="J126" i="44"/>
  <c r="I125" i="29"/>
  <c r="J125" i="44"/>
  <c r="I124" i="29"/>
  <c r="J124" i="44"/>
  <c r="I123" i="29"/>
  <c r="J123" i="44"/>
  <c r="I122" i="29"/>
  <c r="J122" i="44"/>
  <c r="I121" i="29"/>
  <c r="J121" i="44"/>
  <c r="I120" i="29"/>
  <c r="J120" i="44"/>
  <c r="I119" i="29"/>
  <c r="J119" i="44"/>
  <c r="I118" i="29"/>
  <c r="J118" i="44"/>
  <c r="I117" i="29"/>
  <c r="J117" i="44"/>
  <c r="I116" i="29"/>
  <c r="J116" i="44"/>
  <c r="I115" i="29"/>
  <c r="J115" i="44"/>
  <c r="I114" i="29"/>
  <c r="J114" i="44"/>
  <c r="I113" i="29"/>
  <c r="J113" i="44"/>
  <c r="I112" i="29"/>
  <c r="J112" i="44"/>
  <c r="I111" i="29"/>
  <c r="J111" i="44"/>
  <c r="I110" i="29"/>
  <c r="J110" i="44"/>
  <c r="I109" i="29"/>
  <c r="J109" i="44"/>
  <c r="I108" i="29"/>
  <c r="J108" i="44"/>
  <c r="I107" i="29"/>
  <c r="J107" i="44"/>
  <c r="I106" i="29"/>
  <c r="J106" i="44"/>
  <c r="I105" i="29"/>
  <c r="J105" i="44"/>
  <c r="I104" i="29"/>
  <c r="J104" i="44"/>
  <c r="I103" i="29"/>
  <c r="J103" i="44"/>
  <c r="I102" i="29"/>
  <c r="J102" i="44"/>
  <c r="I101" i="29"/>
  <c r="J101" i="44"/>
  <c r="I100" i="29"/>
  <c r="J100" i="44"/>
  <c r="I99" i="29"/>
  <c r="J99" i="44"/>
  <c r="I98" i="29"/>
  <c r="J98" i="44"/>
  <c r="I97" i="29"/>
  <c r="J97" i="44"/>
  <c r="I96" i="29"/>
  <c r="J96" i="44"/>
  <c r="I95" i="29"/>
  <c r="J95" i="44"/>
  <c r="I94" i="29"/>
  <c r="J94" i="44"/>
  <c r="I93" i="29"/>
  <c r="J93" i="44"/>
  <c r="I92" i="29"/>
  <c r="J92" i="44"/>
  <c r="I91" i="29"/>
  <c r="J91" i="44"/>
  <c r="I90" i="29"/>
  <c r="J90" i="44"/>
  <c r="I89" i="29"/>
  <c r="J89" i="44"/>
  <c r="I88" i="29"/>
  <c r="J88" i="44"/>
  <c r="I87" i="29"/>
  <c r="J87" i="44"/>
  <c r="I86" i="29"/>
  <c r="J86" i="44"/>
  <c r="I85" i="29"/>
  <c r="J85" i="44"/>
  <c r="I84" i="29"/>
  <c r="J84" i="44"/>
  <c r="I83" i="29"/>
  <c r="J83" i="44"/>
  <c r="I82" i="29"/>
  <c r="J82" i="44"/>
  <c r="I81" i="29"/>
  <c r="J81" i="44"/>
  <c r="I80" i="29"/>
  <c r="J80" i="44"/>
  <c r="I79" i="29"/>
  <c r="J79" i="44"/>
  <c r="I78" i="29"/>
  <c r="J78" i="44"/>
  <c r="I77" i="29"/>
  <c r="J77" i="44"/>
  <c r="I76" i="29"/>
  <c r="J76" i="44"/>
  <c r="I75" i="29"/>
  <c r="J75" i="44"/>
  <c r="I74" i="29"/>
  <c r="J74" i="44"/>
  <c r="I73" i="29"/>
  <c r="J73" i="44"/>
  <c r="I72" i="29"/>
  <c r="J72" i="44"/>
  <c r="I71" i="29"/>
  <c r="J71" i="44"/>
  <c r="I70" i="29"/>
  <c r="J70" i="44"/>
  <c r="I69" i="29"/>
  <c r="J69" i="44"/>
  <c r="I68" i="29"/>
  <c r="J68" i="44"/>
  <c r="I67" i="29"/>
  <c r="J67" i="44"/>
  <c r="I66" i="29"/>
  <c r="J66" i="44"/>
  <c r="I65" i="29"/>
  <c r="J65" i="44"/>
  <c r="I64" i="29"/>
  <c r="J64" i="44"/>
  <c r="I63" i="29"/>
  <c r="J63" i="44"/>
  <c r="I62" i="29"/>
  <c r="J62" i="44"/>
  <c r="I61" i="29"/>
  <c r="J61" i="44"/>
  <c r="I60" i="29"/>
  <c r="J60" i="44"/>
  <c r="I59" i="29"/>
  <c r="J59" i="44"/>
  <c r="I58" i="29"/>
  <c r="J58" i="44"/>
  <c r="I57" i="29"/>
  <c r="J57" i="44"/>
  <c r="I56" i="29"/>
  <c r="J56" i="44"/>
  <c r="I55" i="29"/>
  <c r="J55" i="44"/>
  <c r="I54" i="29"/>
  <c r="J54" i="44"/>
  <c r="I53" i="29"/>
  <c r="J53" i="44"/>
  <c r="I52" i="29"/>
  <c r="J52" i="44"/>
  <c r="I51" i="29"/>
  <c r="J51" i="44"/>
  <c r="I50" i="29"/>
  <c r="J50" i="44"/>
  <c r="I49" i="29"/>
  <c r="J49" i="44"/>
  <c r="I48" i="29"/>
  <c r="J48" i="44"/>
  <c r="I47" i="29"/>
  <c r="J47" i="44"/>
  <c r="I46" i="29"/>
  <c r="J46" i="44"/>
  <c r="I45" i="29"/>
  <c r="J45" i="44"/>
  <c r="I44" i="29"/>
  <c r="J44" i="44"/>
  <c r="I43" i="29"/>
  <c r="J43" i="44"/>
  <c r="I42" i="29"/>
  <c r="J42" i="44"/>
  <c r="I41" i="29"/>
  <c r="J41" i="44"/>
  <c r="I40" i="29"/>
  <c r="J40" i="44"/>
  <c r="I39" i="29"/>
  <c r="J39" i="44"/>
  <c r="I38" i="29"/>
  <c r="J38" i="44"/>
  <c r="I37" i="29"/>
  <c r="J37" i="44"/>
  <c r="I36" i="29"/>
  <c r="J36" i="44"/>
  <c r="I35" i="29"/>
  <c r="J35" i="44"/>
  <c r="I34" i="29"/>
  <c r="J34" i="44"/>
  <c r="I33" i="29"/>
  <c r="J33" i="44"/>
  <c r="I32" i="29"/>
  <c r="J32" i="44"/>
  <c r="I31" i="29"/>
  <c r="J31" i="44"/>
  <c r="I30" i="29"/>
  <c r="J30" i="44"/>
  <c r="I29" i="29"/>
  <c r="J29" i="44"/>
  <c r="I28" i="29"/>
  <c r="J28" i="44"/>
  <c r="I27" i="29"/>
  <c r="J27" i="44"/>
  <c r="I26" i="29"/>
  <c r="J26" i="44"/>
  <c r="I25" i="29"/>
  <c r="J25" i="44"/>
  <c r="I24" i="29"/>
  <c r="J24" i="44"/>
  <c r="I23" i="29"/>
  <c r="J23" i="44"/>
  <c r="I22" i="29"/>
  <c r="J22" i="44"/>
  <c r="I21" i="29"/>
  <c r="J21" i="44"/>
  <c r="I20" i="29"/>
  <c r="J20" i="44"/>
  <c r="I19" i="29"/>
  <c r="J19" i="44"/>
  <c r="I18" i="29"/>
  <c r="J18" i="44"/>
  <c r="I17" i="29"/>
  <c r="J17" i="44"/>
  <c r="I16" i="29"/>
  <c r="J16" i="44"/>
  <c r="I15" i="29"/>
  <c r="J15" i="44"/>
  <c r="I14" i="29"/>
  <c r="J14" i="44"/>
  <c r="I13" i="29"/>
  <c r="J13" i="44"/>
  <c r="I12" i="29"/>
  <c r="J12" i="44"/>
  <c r="I11" i="29"/>
  <c r="J11" i="44"/>
  <c r="I10" i="29"/>
  <c r="J10" i="44"/>
  <c r="I9" i="29"/>
  <c r="J9" i="44"/>
  <c r="I8" i="29"/>
  <c r="J8" i="44"/>
  <c r="I7" i="29"/>
  <c r="J7" i="44"/>
  <c r="I6" i="29"/>
  <c r="J6" i="44"/>
  <c r="I5" i="29"/>
  <c r="J5" i="44"/>
  <c r="I4" i="29"/>
  <c r="J4" i="44"/>
  <c r="I3" i="29"/>
  <c r="F200" i="43"/>
  <c r="F199" i="43"/>
  <c r="F198" i="43"/>
  <c r="F190" i="43"/>
  <c r="F192" i="43" s="1"/>
  <c r="E190" i="43"/>
  <c r="G189" i="43"/>
  <c r="G188" i="43"/>
  <c r="F183" i="43"/>
  <c r="F193" i="43" s="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J148" i="43"/>
  <c r="J147" i="43"/>
  <c r="J146" i="43"/>
  <c r="J145" i="43"/>
  <c r="J144" i="43"/>
  <c r="J143" i="43"/>
  <c r="J142" i="43"/>
  <c r="J141" i="43"/>
  <c r="J140" i="43"/>
  <c r="J139" i="43"/>
  <c r="J138" i="43"/>
  <c r="J137" i="43"/>
  <c r="J136" i="43"/>
  <c r="J135" i="43"/>
  <c r="J134" i="43"/>
  <c r="J133" i="43"/>
  <c r="J132" i="43"/>
  <c r="J131" i="43"/>
  <c r="J130" i="43"/>
  <c r="J129" i="43"/>
  <c r="J128" i="43"/>
  <c r="J127" i="43"/>
  <c r="J126" i="43"/>
  <c r="J125" i="43"/>
  <c r="J124" i="43"/>
  <c r="J123" i="43"/>
  <c r="J122" i="43"/>
  <c r="J121" i="43"/>
  <c r="J120" i="43"/>
  <c r="J119" i="43"/>
  <c r="J118" i="43"/>
  <c r="J117" i="43"/>
  <c r="J116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3" i="43"/>
  <c r="J62" i="43"/>
  <c r="J61" i="43"/>
  <c r="J60" i="43"/>
  <c r="J59" i="43"/>
  <c r="J58" i="43"/>
  <c r="J57" i="43"/>
  <c r="J56" i="43"/>
  <c r="J55" i="43"/>
  <c r="J54" i="43"/>
  <c r="J53" i="43"/>
  <c r="J52" i="43"/>
  <c r="J51" i="43"/>
  <c r="J50" i="43"/>
  <c r="J49" i="43"/>
  <c r="J48" i="43"/>
  <c r="J47" i="43"/>
  <c r="J46" i="43"/>
  <c r="J45" i="43"/>
  <c r="J44" i="43"/>
  <c r="J43" i="43"/>
  <c r="J42" i="43"/>
  <c r="J41" i="43"/>
  <c r="J40" i="43"/>
  <c r="J39" i="43"/>
  <c r="J38" i="43"/>
  <c r="J37" i="43"/>
  <c r="J36" i="43"/>
  <c r="J35" i="43"/>
  <c r="J34" i="43"/>
  <c r="J33" i="43"/>
  <c r="J32" i="43"/>
  <c r="J31" i="43"/>
  <c r="J30" i="43"/>
  <c r="J29" i="43"/>
  <c r="J28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J6" i="43"/>
  <c r="J5" i="43"/>
  <c r="J4" i="43"/>
  <c r="F190" i="42"/>
  <c r="F192" i="42" s="1"/>
  <c r="E190" i="42"/>
  <c r="G189" i="42"/>
  <c r="G188" i="42"/>
  <c r="J182" i="42"/>
  <c r="G181" i="29"/>
  <c r="J181" i="42"/>
  <c r="G180" i="29"/>
  <c r="J180" i="42"/>
  <c r="G179" i="29"/>
  <c r="J179" i="42"/>
  <c r="G178" i="29"/>
  <c r="J178" i="42"/>
  <c r="G177" i="29"/>
  <c r="J177" i="42"/>
  <c r="G176" i="29"/>
  <c r="J176" i="42"/>
  <c r="G175" i="29"/>
  <c r="J175" i="42"/>
  <c r="G174" i="29"/>
  <c r="J174" i="42"/>
  <c r="G173" i="29"/>
  <c r="J173" i="42"/>
  <c r="G172" i="29"/>
  <c r="J172" i="42"/>
  <c r="G171" i="29"/>
  <c r="J171" i="42"/>
  <c r="G170" i="29"/>
  <c r="J170" i="42"/>
  <c r="G169" i="29"/>
  <c r="J169" i="42"/>
  <c r="G168" i="29"/>
  <c r="J168" i="42"/>
  <c r="G167" i="29"/>
  <c r="J167" i="42"/>
  <c r="G166" i="29"/>
  <c r="J166" i="42"/>
  <c r="G165" i="29"/>
  <c r="J165" i="42"/>
  <c r="G164" i="29"/>
  <c r="J164" i="42"/>
  <c r="G163" i="29"/>
  <c r="J163" i="42"/>
  <c r="G162" i="29"/>
  <c r="J162" i="42"/>
  <c r="G161" i="29"/>
  <c r="J161" i="42"/>
  <c r="G160" i="29"/>
  <c r="J160" i="42"/>
  <c r="G159" i="29"/>
  <c r="J159" i="42"/>
  <c r="G158" i="29"/>
  <c r="J158" i="42"/>
  <c r="G157" i="29"/>
  <c r="J157" i="42"/>
  <c r="G156" i="29"/>
  <c r="J156" i="42"/>
  <c r="G155" i="29"/>
  <c r="J155" i="42"/>
  <c r="G154" i="29"/>
  <c r="J154" i="42"/>
  <c r="G153" i="29"/>
  <c r="J153" i="42"/>
  <c r="G152" i="29"/>
  <c r="J152" i="42"/>
  <c r="G151" i="29"/>
  <c r="J151" i="42"/>
  <c r="G150" i="29"/>
  <c r="J150" i="42"/>
  <c r="G149" i="29"/>
  <c r="J149" i="42"/>
  <c r="G148" i="29"/>
  <c r="J148" i="42"/>
  <c r="G147" i="29"/>
  <c r="J147" i="42"/>
  <c r="G146" i="29"/>
  <c r="J146" i="42"/>
  <c r="G145" i="29"/>
  <c r="J145" i="42"/>
  <c r="G144" i="29"/>
  <c r="J144" i="42"/>
  <c r="G143" i="29"/>
  <c r="J143" i="42"/>
  <c r="G142" i="29"/>
  <c r="J142" i="42"/>
  <c r="G141" i="29"/>
  <c r="J141" i="42"/>
  <c r="G140" i="29"/>
  <c r="J140" i="42"/>
  <c r="G139" i="29"/>
  <c r="J139" i="42"/>
  <c r="G138" i="29"/>
  <c r="J138" i="42"/>
  <c r="G137" i="29"/>
  <c r="J137" i="42"/>
  <c r="G136" i="29"/>
  <c r="J136" i="42"/>
  <c r="G135" i="29"/>
  <c r="J135" i="42"/>
  <c r="G134" i="29"/>
  <c r="J134" i="42"/>
  <c r="G133" i="29"/>
  <c r="J133" i="42"/>
  <c r="G132" i="29"/>
  <c r="J132" i="42"/>
  <c r="G131" i="29"/>
  <c r="J131" i="42"/>
  <c r="G130" i="29"/>
  <c r="J130" i="42"/>
  <c r="G129" i="29"/>
  <c r="J129" i="42"/>
  <c r="G128" i="29"/>
  <c r="J128" i="42"/>
  <c r="G127" i="29"/>
  <c r="J127" i="42"/>
  <c r="G126" i="29"/>
  <c r="J126" i="42"/>
  <c r="G125" i="29"/>
  <c r="J125" i="42"/>
  <c r="G124" i="29"/>
  <c r="J124" i="42"/>
  <c r="G123" i="29"/>
  <c r="J123" i="42"/>
  <c r="G122" i="29"/>
  <c r="J122" i="42"/>
  <c r="G121" i="29"/>
  <c r="J121" i="42"/>
  <c r="G120" i="29"/>
  <c r="J120" i="42"/>
  <c r="G119" i="29"/>
  <c r="J119" i="42"/>
  <c r="G118" i="29"/>
  <c r="J118" i="42"/>
  <c r="G117" i="29"/>
  <c r="J117" i="42"/>
  <c r="G116" i="29"/>
  <c r="J116" i="42"/>
  <c r="J115" i="42"/>
  <c r="G114" i="29"/>
  <c r="J114" i="42"/>
  <c r="G113" i="29"/>
  <c r="J113" i="42"/>
  <c r="G112" i="29"/>
  <c r="J112" i="42"/>
  <c r="G111" i="29"/>
  <c r="J111" i="42"/>
  <c r="G110" i="29"/>
  <c r="J110" i="42"/>
  <c r="G109" i="29"/>
  <c r="J109" i="42"/>
  <c r="G108" i="29"/>
  <c r="J108" i="42"/>
  <c r="G107" i="29"/>
  <c r="J107" i="42"/>
  <c r="G106" i="29"/>
  <c r="J106" i="42"/>
  <c r="G105" i="29"/>
  <c r="J105" i="42"/>
  <c r="G104" i="29"/>
  <c r="J104" i="42"/>
  <c r="G103" i="29"/>
  <c r="J103" i="42"/>
  <c r="G102" i="29"/>
  <c r="J102" i="42"/>
  <c r="G101" i="29"/>
  <c r="J101" i="42"/>
  <c r="G100" i="29"/>
  <c r="J100" i="42"/>
  <c r="G99" i="29"/>
  <c r="J99" i="42"/>
  <c r="G98" i="29"/>
  <c r="J98" i="42"/>
  <c r="G97" i="29"/>
  <c r="J97" i="42"/>
  <c r="G96" i="29"/>
  <c r="J96" i="42"/>
  <c r="G95" i="29"/>
  <c r="J95" i="42"/>
  <c r="G94" i="29"/>
  <c r="J94" i="42"/>
  <c r="G93" i="29"/>
  <c r="J93" i="42"/>
  <c r="G92" i="29"/>
  <c r="J92" i="42"/>
  <c r="G91" i="29"/>
  <c r="J91" i="42"/>
  <c r="G90" i="29"/>
  <c r="J90" i="42"/>
  <c r="G89" i="29"/>
  <c r="J89" i="42"/>
  <c r="G88" i="29"/>
  <c r="J88" i="42"/>
  <c r="G87" i="29"/>
  <c r="J87" i="42"/>
  <c r="G86" i="29"/>
  <c r="J86" i="42"/>
  <c r="G85" i="29"/>
  <c r="J85" i="42"/>
  <c r="G84" i="29"/>
  <c r="J84" i="42"/>
  <c r="G83" i="29"/>
  <c r="J83" i="42"/>
  <c r="G82" i="29"/>
  <c r="J82" i="42"/>
  <c r="G81" i="29"/>
  <c r="J81" i="42"/>
  <c r="G80" i="29"/>
  <c r="J80" i="42"/>
  <c r="G79" i="29"/>
  <c r="J79" i="42"/>
  <c r="G78" i="29"/>
  <c r="J78" i="42"/>
  <c r="G77" i="29"/>
  <c r="J77" i="42"/>
  <c r="G76" i="29"/>
  <c r="J76" i="42"/>
  <c r="G75" i="29"/>
  <c r="J75" i="42"/>
  <c r="G74" i="29"/>
  <c r="J74" i="42"/>
  <c r="G73" i="29"/>
  <c r="J73" i="42"/>
  <c r="G72" i="29"/>
  <c r="J72" i="42"/>
  <c r="G71" i="29"/>
  <c r="J71" i="42"/>
  <c r="G70" i="29"/>
  <c r="J70" i="42"/>
  <c r="G69" i="29"/>
  <c r="J69" i="42"/>
  <c r="G68" i="29"/>
  <c r="J68" i="42"/>
  <c r="G67" i="29"/>
  <c r="J67" i="42"/>
  <c r="G66" i="29"/>
  <c r="J66" i="42"/>
  <c r="G65" i="29"/>
  <c r="J65" i="42"/>
  <c r="G64" i="29"/>
  <c r="J64" i="42"/>
  <c r="G63" i="29"/>
  <c r="J63" i="42"/>
  <c r="G62" i="29"/>
  <c r="J62" i="42"/>
  <c r="G61" i="29"/>
  <c r="J61" i="42"/>
  <c r="G60" i="29"/>
  <c r="J60" i="42"/>
  <c r="G59" i="29"/>
  <c r="J59" i="42"/>
  <c r="G58" i="29"/>
  <c r="J58" i="42"/>
  <c r="G57" i="29"/>
  <c r="J57" i="42"/>
  <c r="G56" i="29"/>
  <c r="J56" i="42"/>
  <c r="G55" i="29"/>
  <c r="J55" i="42"/>
  <c r="G54" i="29"/>
  <c r="J54" i="42"/>
  <c r="G53" i="29"/>
  <c r="J53" i="42"/>
  <c r="G52" i="29"/>
  <c r="J52" i="42"/>
  <c r="G51" i="29"/>
  <c r="J51" i="42"/>
  <c r="G50" i="29"/>
  <c r="J50" i="42"/>
  <c r="G49" i="29"/>
  <c r="J49" i="42"/>
  <c r="G48" i="29"/>
  <c r="J48" i="42"/>
  <c r="G47" i="29"/>
  <c r="J47" i="42"/>
  <c r="G46" i="29"/>
  <c r="J46" i="42"/>
  <c r="G45" i="29"/>
  <c r="J45" i="42"/>
  <c r="G44" i="29"/>
  <c r="J44" i="42"/>
  <c r="G43" i="29"/>
  <c r="J43" i="42"/>
  <c r="G42" i="29"/>
  <c r="J42" i="42"/>
  <c r="G41" i="29"/>
  <c r="J41" i="42"/>
  <c r="G40" i="29"/>
  <c r="J40" i="42"/>
  <c r="G39" i="29"/>
  <c r="J39" i="42"/>
  <c r="G38" i="29"/>
  <c r="J38" i="42"/>
  <c r="G37" i="29"/>
  <c r="J37" i="42"/>
  <c r="G36" i="29"/>
  <c r="J36" i="42"/>
  <c r="G35" i="29"/>
  <c r="J35" i="42"/>
  <c r="G34" i="29"/>
  <c r="J34" i="42"/>
  <c r="G33" i="29"/>
  <c r="J33" i="42"/>
  <c r="G32" i="29"/>
  <c r="J32" i="42"/>
  <c r="G31" i="29"/>
  <c r="J31" i="42"/>
  <c r="G30" i="29"/>
  <c r="J30" i="42"/>
  <c r="G29" i="29"/>
  <c r="J29" i="42"/>
  <c r="G28" i="29"/>
  <c r="J28" i="42"/>
  <c r="G27" i="29"/>
  <c r="J27" i="42"/>
  <c r="G26" i="29"/>
  <c r="J26" i="42"/>
  <c r="G25" i="29"/>
  <c r="J25" i="42"/>
  <c r="G24" i="29"/>
  <c r="J24" i="42"/>
  <c r="G23" i="29"/>
  <c r="J23" i="42"/>
  <c r="G22" i="29"/>
  <c r="J22" i="42"/>
  <c r="G21" i="29"/>
  <c r="J21" i="42"/>
  <c r="G20" i="29"/>
  <c r="J20" i="42"/>
  <c r="G19" i="29"/>
  <c r="J19" i="42"/>
  <c r="G18" i="29"/>
  <c r="J18" i="42"/>
  <c r="G17" i="29"/>
  <c r="J17" i="42"/>
  <c r="G16" i="29"/>
  <c r="J16" i="42"/>
  <c r="G15" i="29"/>
  <c r="J15" i="42"/>
  <c r="G14" i="29"/>
  <c r="J14" i="42"/>
  <c r="G13" i="29"/>
  <c r="J13" i="42"/>
  <c r="G12" i="29"/>
  <c r="J12" i="42"/>
  <c r="G11" i="29"/>
  <c r="J11" i="42"/>
  <c r="G10" i="29"/>
  <c r="J10" i="42"/>
  <c r="G9" i="29"/>
  <c r="J9" i="42"/>
  <c r="G8" i="29"/>
  <c r="J8" i="42"/>
  <c r="G7" i="29"/>
  <c r="J7" i="42"/>
  <c r="G6" i="29"/>
  <c r="J6" i="42"/>
  <c r="G5" i="29"/>
  <c r="J5" i="42"/>
  <c r="G4" i="29"/>
  <c r="J4" i="42"/>
  <c r="F190" i="41"/>
  <c r="E190" i="41"/>
  <c r="G189" i="41"/>
  <c r="G188" i="41"/>
  <c r="F181" i="29"/>
  <c r="F180" i="29"/>
  <c r="F179" i="29"/>
  <c r="F178" i="29"/>
  <c r="F177" i="29"/>
  <c r="F176" i="29"/>
  <c r="F175" i="29"/>
  <c r="F174" i="29"/>
  <c r="F173" i="29"/>
  <c r="F172" i="29"/>
  <c r="F171" i="29"/>
  <c r="F170" i="29"/>
  <c r="F169" i="29"/>
  <c r="F168" i="29"/>
  <c r="F167" i="29"/>
  <c r="F166" i="29"/>
  <c r="F164" i="29"/>
  <c r="F163" i="29"/>
  <c r="F162" i="29"/>
  <c r="F161" i="29"/>
  <c r="F160" i="29"/>
  <c r="F159" i="29"/>
  <c r="F158" i="29"/>
  <c r="F157" i="29"/>
  <c r="F156" i="29"/>
  <c r="F155" i="29"/>
  <c r="F154" i="29"/>
  <c r="F153" i="29"/>
  <c r="F152" i="29"/>
  <c r="F151" i="29"/>
  <c r="F150" i="29"/>
  <c r="F149" i="29"/>
  <c r="F148" i="29"/>
  <c r="F147" i="29"/>
  <c r="F146" i="29"/>
  <c r="F145" i="29"/>
  <c r="F144" i="29"/>
  <c r="F143" i="29"/>
  <c r="F142" i="29"/>
  <c r="F141" i="29"/>
  <c r="F140" i="29"/>
  <c r="F139" i="29"/>
  <c r="F138" i="29"/>
  <c r="F137" i="29"/>
  <c r="F135" i="29"/>
  <c r="F134" i="29"/>
  <c r="F133" i="29"/>
  <c r="F132" i="29"/>
  <c r="F131" i="29"/>
  <c r="F130" i="29"/>
  <c r="F129" i="29"/>
  <c r="F128" i="29"/>
  <c r="F127" i="29"/>
  <c r="F126" i="29"/>
  <c r="F125" i="29"/>
  <c r="F124" i="29"/>
  <c r="F123" i="29"/>
  <c r="F122" i="29"/>
  <c r="F121" i="29"/>
  <c r="F120" i="29"/>
  <c r="F119" i="29"/>
  <c r="F118" i="29"/>
  <c r="F117" i="29"/>
  <c r="F115" i="29"/>
  <c r="F114" i="29"/>
  <c r="F113" i="29"/>
  <c r="F112" i="29"/>
  <c r="F111" i="29"/>
  <c r="F110" i="29"/>
  <c r="F109" i="29"/>
  <c r="F108" i="29"/>
  <c r="F107" i="29"/>
  <c r="F106" i="29"/>
  <c r="F105" i="29"/>
  <c r="F104" i="29"/>
  <c r="F103" i="29"/>
  <c r="F102" i="29"/>
  <c r="F101" i="29"/>
  <c r="F100" i="29"/>
  <c r="F99" i="29"/>
  <c r="F98" i="29"/>
  <c r="F97" i="29"/>
  <c r="F96" i="29"/>
  <c r="F95" i="29"/>
  <c r="F94" i="29"/>
  <c r="F93" i="29"/>
  <c r="F92" i="29"/>
  <c r="F91" i="29"/>
  <c r="F90" i="29"/>
  <c r="F89" i="29"/>
  <c r="F88" i="29"/>
  <c r="F87" i="29"/>
  <c r="F86" i="29"/>
  <c r="F85" i="29"/>
  <c r="F84" i="29"/>
  <c r="F83" i="29"/>
  <c r="F82" i="29"/>
  <c r="F80" i="29"/>
  <c r="F79" i="29"/>
  <c r="F78" i="29"/>
  <c r="F77" i="29"/>
  <c r="F76" i="29"/>
  <c r="F75" i="29"/>
  <c r="F74" i="29"/>
  <c r="F73" i="29"/>
  <c r="F72" i="29"/>
  <c r="F71" i="29"/>
  <c r="F70" i="29"/>
  <c r="F69" i="29"/>
  <c r="F68" i="29"/>
  <c r="F67" i="29"/>
  <c r="F66" i="29"/>
  <c r="F65" i="29"/>
  <c r="F64" i="29"/>
  <c r="F63" i="29"/>
  <c r="F62" i="29"/>
  <c r="F61" i="29"/>
  <c r="F60" i="29"/>
  <c r="F59" i="29"/>
  <c r="F58" i="29"/>
  <c r="F57" i="29"/>
  <c r="F56" i="29"/>
  <c r="F55" i="29"/>
  <c r="F54" i="29"/>
  <c r="F53" i="29"/>
  <c r="F52" i="29"/>
  <c r="F51" i="29"/>
  <c r="F50" i="29"/>
  <c r="F49" i="29"/>
  <c r="F48" i="29"/>
  <c r="F47" i="29"/>
  <c r="F46" i="29"/>
  <c r="F45" i="29"/>
  <c r="F44" i="29"/>
  <c r="F43" i="29"/>
  <c r="F42" i="29"/>
  <c r="F41" i="29"/>
  <c r="F40" i="29"/>
  <c r="F39" i="29"/>
  <c r="F38" i="29"/>
  <c r="F37" i="29"/>
  <c r="F36" i="29"/>
  <c r="F35" i="29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F4" i="29"/>
  <c r="J4" i="41"/>
  <c r="J5" i="41" s="1"/>
  <c r="J6" i="41" s="1"/>
  <c r="J7" i="41" s="1"/>
  <c r="J8" i="41" s="1"/>
  <c r="J9" i="41" s="1"/>
  <c r="J10" i="41" s="1"/>
  <c r="J11" i="41" s="1"/>
  <c r="J12" i="41" s="1"/>
  <c r="J13" i="41" s="1"/>
  <c r="J14" i="41" s="1"/>
  <c r="J15" i="41" s="1"/>
  <c r="J16" i="41" s="1"/>
  <c r="J17" i="41" s="1"/>
  <c r="J19" i="41" s="1"/>
  <c r="J20" i="41" s="1"/>
  <c r="J21" i="41" s="1"/>
  <c r="J22" i="41" s="1"/>
  <c r="J23" i="41" s="1"/>
  <c r="J24" i="41" s="1"/>
  <c r="J25" i="41" s="1"/>
  <c r="J26" i="41" s="1"/>
  <c r="J27" i="41" s="1"/>
  <c r="J28" i="41" s="1"/>
  <c r="J29" i="41" s="1"/>
  <c r="J30" i="41" s="1"/>
  <c r="J31" i="41" s="1"/>
  <c r="J32" i="41" s="1"/>
  <c r="J33" i="41" s="1"/>
  <c r="J34" i="41" s="1"/>
  <c r="J35" i="41" s="1"/>
  <c r="J36" i="41" s="1"/>
  <c r="J37" i="41" s="1"/>
  <c r="J38" i="41" s="1"/>
  <c r="J39" i="41" s="1"/>
  <c r="J40" i="41" s="1"/>
  <c r="J41" i="41" s="1"/>
  <c r="J42" i="41" s="1"/>
  <c r="J43" i="41" s="1"/>
  <c r="J44" i="41" s="1"/>
  <c r="J45" i="41" s="1"/>
  <c r="J46" i="41" s="1"/>
  <c r="J47" i="41" s="1"/>
  <c r="J48" i="41" s="1"/>
  <c r="J49" i="41" s="1"/>
  <c r="J50" i="41" s="1"/>
  <c r="J51" i="41" s="1"/>
  <c r="J52" i="41" s="1"/>
  <c r="J53" i="41" s="1"/>
  <c r="J54" i="41" s="1"/>
  <c r="J55" i="41" s="1"/>
  <c r="J56" i="41" s="1"/>
  <c r="J57" i="41" s="1"/>
  <c r="J58" i="41" s="1"/>
  <c r="J59" i="41" s="1"/>
  <c r="J60" i="41" s="1"/>
  <c r="J61" i="41" s="1"/>
  <c r="J62" i="41" s="1"/>
  <c r="J63" i="41" s="1"/>
  <c r="J64" i="41" s="1"/>
  <c r="J65" i="41" s="1"/>
  <c r="J66" i="41" s="1"/>
  <c r="J67" i="41" s="1"/>
  <c r="J68" i="41" s="1"/>
  <c r="J69" i="41" s="1"/>
  <c r="J70" i="41" s="1"/>
  <c r="J71" i="41" s="1"/>
  <c r="J72" i="41" s="1"/>
  <c r="J73" i="41" s="1"/>
  <c r="J74" i="41" s="1"/>
  <c r="J75" i="41" s="1"/>
  <c r="J76" i="41" s="1"/>
  <c r="J77" i="41" s="1"/>
  <c r="J78" i="41" s="1"/>
  <c r="J79" i="41" s="1"/>
  <c r="J80" i="41" s="1"/>
  <c r="J81" i="41" s="1"/>
  <c r="J82" i="41" s="1"/>
  <c r="J83" i="41" s="1"/>
  <c r="J84" i="41" s="1"/>
  <c r="J85" i="41" s="1"/>
  <c r="J86" i="41" s="1"/>
  <c r="J87" i="41" s="1"/>
  <c r="J88" i="41" s="1"/>
  <c r="J89" i="41" s="1"/>
  <c r="J90" i="41" s="1"/>
  <c r="J91" i="41" s="1"/>
  <c r="J92" i="41" s="1"/>
  <c r="J93" i="41" s="1"/>
  <c r="J94" i="41" s="1"/>
  <c r="J95" i="41" s="1"/>
  <c r="J96" i="41" s="1"/>
  <c r="J97" i="41" s="1"/>
  <c r="J98" i="41" s="1"/>
  <c r="J99" i="41" s="1"/>
  <c r="J100" i="41" s="1"/>
  <c r="J101" i="41" s="1"/>
  <c r="J102" i="41" s="1"/>
  <c r="J103" i="41" s="1"/>
  <c r="J104" i="41" s="1"/>
  <c r="J105" i="41" s="1"/>
  <c r="J106" i="41" s="1"/>
  <c r="J107" i="41" s="1"/>
  <c r="J108" i="41" s="1"/>
  <c r="J109" i="41" s="1"/>
  <c r="J110" i="41" s="1"/>
  <c r="J111" i="41" s="1"/>
  <c r="J112" i="41" s="1"/>
  <c r="J113" i="41" s="1"/>
  <c r="J114" i="41" s="1"/>
  <c r="J115" i="41" s="1"/>
  <c r="J116" i="41" s="1"/>
  <c r="J117" i="41" s="1"/>
  <c r="J118" i="41" s="1"/>
  <c r="J119" i="41" s="1"/>
  <c r="J120" i="41" s="1"/>
  <c r="J121" i="41" s="1"/>
  <c r="J122" i="41" s="1"/>
  <c r="J123" i="41" s="1"/>
  <c r="J124" i="41" s="1"/>
  <c r="J125" i="41" s="1"/>
  <c r="J126" i="41" s="1"/>
  <c r="J127" i="41" s="1"/>
  <c r="J128" i="41" s="1"/>
  <c r="J129" i="41" s="1"/>
  <c r="J130" i="41" s="1"/>
  <c r="J131" i="41" s="1"/>
  <c r="J132" i="41" s="1"/>
  <c r="J133" i="41" s="1"/>
  <c r="J134" i="41" s="1"/>
  <c r="J135" i="41" s="1"/>
  <c r="J136" i="41" s="1"/>
  <c r="J137" i="41" s="1"/>
  <c r="J138" i="41" s="1"/>
  <c r="J139" i="41" s="1"/>
  <c r="J140" i="41" s="1"/>
  <c r="J141" i="41" s="1"/>
  <c r="J142" i="41" s="1"/>
  <c r="J143" i="41" s="1"/>
  <c r="J144" i="41" s="1"/>
  <c r="J145" i="41" s="1"/>
  <c r="J146" i="41" s="1"/>
  <c r="J147" i="41" s="1"/>
  <c r="J148" i="41" s="1"/>
  <c r="J149" i="41" s="1"/>
  <c r="J150" i="41" s="1"/>
  <c r="J151" i="41" s="1"/>
  <c r="J152" i="41" s="1"/>
  <c r="J153" i="41" s="1"/>
  <c r="J154" i="41" s="1"/>
  <c r="J155" i="41" s="1"/>
  <c r="J156" i="41" s="1"/>
  <c r="J157" i="41" s="1"/>
  <c r="J158" i="41" s="1"/>
  <c r="J159" i="41" s="1"/>
  <c r="J160" i="41" s="1"/>
  <c r="J161" i="41" s="1"/>
  <c r="J162" i="41" s="1"/>
  <c r="J163" i="41" s="1"/>
  <c r="J164" i="41" s="1"/>
  <c r="J165" i="41" s="1"/>
  <c r="J166" i="41" s="1"/>
  <c r="J167" i="41" s="1"/>
  <c r="J168" i="41" s="1"/>
  <c r="J169" i="41" s="1"/>
  <c r="J170" i="41" s="1"/>
  <c r="J171" i="41" s="1"/>
  <c r="J172" i="41" s="1"/>
  <c r="J173" i="41" s="1"/>
  <c r="J174" i="41" s="1"/>
  <c r="J175" i="41" s="1"/>
  <c r="J176" i="41" s="1"/>
  <c r="J177" i="41" s="1"/>
  <c r="J178" i="41" s="1"/>
  <c r="J179" i="41" s="1"/>
  <c r="J180" i="41" s="1"/>
  <c r="J181" i="41" s="1"/>
  <c r="J182" i="41" s="1"/>
  <c r="F3" i="29"/>
  <c r="F190" i="40"/>
  <c r="F192" i="40" s="1"/>
  <c r="E190" i="40"/>
  <c r="G189" i="40"/>
  <c r="G188" i="40"/>
  <c r="J182" i="40"/>
  <c r="J181" i="40"/>
  <c r="E180" i="29"/>
  <c r="J180" i="40"/>
  <c r="E179" i="29"/>
  <c r="J179" i="40"/>
  <c r="E178" i="29"/>
  <c r="J178" i="40"/>
  <c r="E177" i="29"/>
  <c r="J177" i="40"/>
  <c r="E176" i="29"/>
  <c r="J176" i="40"/>
  <c r="E175" i="29"/>
  <c r="J175" i="40"/>
  <c r="E174" i="29"/>
  <c r="J174" i="40"/>
  <c r="E173" i="29"/>
  <c r="J173" i="40"/>
  <c r="E172" i="29"/>
  <c r="J172" i="40"/>
  <c r="E171" i="29"/>
  <c r="J171" i="40"/>
  <c r="E170" i="29"/>
  <c r="J170" i="40"/>
  <c r="E169" i="29"/>
  <c r="J169" i="40"/>
  <c r="E168" i="29"/>
  <c r="J168" i="40"/>
  <c r="E167" i="29"/>
  <c r="J167" i="40"/>
  <c r="E166" i="29"/>
  <c r="J166" i="40"/>
  <c r="E165" i="29"/>
  <c r="J165" i="40"/>
  <c r="E164" i="29"/>
  <c r="J164" i="40"/>
  <c r="E163" i="29"/>
  <c r="J163" i="40"/>
  <c r="E162" i="29"/>
  <c r="J162" i="40"/>
  <c r="E161" i="29"/>
  <c r="J161" i="40"/>
  <c r="E160" i="29"/>
  <c r="J160" i="40"/>
  <c r="E159" i="29"/>
  <c r="J159" i="40"/>
  <c r="E158" i="29"/>
  <c r="J158" i="40"/>
  <c r="E157" i="29"/>
  <c r="J157" i="40"/>
  <c r="E156" i="29"/>
  <c r="J156" i="40"/>
  <c r="E155" i="29"/>
  <c r="J155" i="40"/>
  <c r="E154" i="29"/>
  <c r="J154" i="40"/>
  <c r="E153" i="29"/>
  <c r="J153" i="40"/>
  <c r="E152" i="29"/>
  <c r="J152" i="40"/>
  <c r="E151" i="29"/>
  <c r="J151" i="40"/>
  <c r="E150" i="29"/>
  <c r="J150" i="40"/>
  <c r="E149" i="29"/>
  <c r="J149" i="40"/>
  <c r="E148" i="29"/>
  <c r="J148" i="40"/>
  <c r="E147" i="29"/>
  <c r="J147" i="40"/>
  <c r="E146" i="29"/>
  <c r="J146" i="40"/>
  <c r="E145" i="29"/>
  <c r="J145" i="40"/>
  <c r="E144" i="29"/>
  <c r="J144" i="40"/>
  <c r="E143" i="29"/>
  <c r="J143" i="40"/>
  <c r="E142" i="29"/>
  <c r="J142" i="40"/>
  <c r="E141" i="29"/>
  <c r="J141" i="40"/>
  <c r="E140" i="29"/>
  <c r="J140" i="40"/>
  <c r="E139" i="29"/>
  <c r="J139" i="40"/>
  <c r="E138" i="29"/>
  <c r="J138" i="40"/>
  <c r="E137" i="29"/>
  <c r="J137" i="40"/>
  <c r="E136" i="29"/>
  <c r="J136" i="40"/>
  <c r="E135" i="29"/>
  <c r="J135" i="40"/>
  <c r="E134" i="29"/>
  <c r="J134" i="40"/>
  <c r="E133" i="29"/>
  <c r="J133" i="40"/>
  <c r="E132" i="29"/>
  <c r="J132" i="40"/>
  <c r="E131" i="29"/>
  <c r="J131" i="40"/>
  <c r="E130" i="29"/>
  <c r="J130" i="40"/>
  <c r="E129" i="29"/>
  <c r="J129" i="40"/>
  <c r="E128" i="29"/>
  <c r="J128" i="40"/>
  <c r="E127" i="29"/>
  <c r="J127" i="40"/>
  <c r="E126" i="29"/>
  <c r="J126" i="40"/>
  <c r="E125" i="29"/>
  <c r="J125" i="40"/>
  <c r="E124" i="29"/>
  <c r="J124" i="40"/>
  <c r="E123" i="29"/>
  <c r="J123" i="40"/>
  <c r="E122" i="29"/>
  <c r="J122" i="40"/>
  <c r="E121" i="29"/>
  <c r="J121" i="40"/>
  <c r="E120" i="29"/>
  <c r="J120" i="40"/>
  <c r="E119" i="29"/>
  <c r="J119" i="40"/>
  <c r="E118" i="29"/>
  <c r="J118" i="40"/>
  <c r="E117" i="29"/>
  <c r="J117" i="40"/>
  <c r="E116" i="29"/>
  <c r="J116" i="40"/>
  <c r="E115" i="29"/>
  <c r="J115" i="40"/>
  <c r="E114" i="29"/>
  <c r="J114" i="40"/>
  <c r="E113" i="29"/>
  <c r="J113" i="40"/>
  <c r="E112" i="29"/>
  <c r="J112" i="40"/>
  <c r="E111" i="29"/>
  <c r="J111" i="40"/>
  <c r="E110" i="29"/>
  <c r="J110" i="40"/>
  <c r="E109" i="29"/>
  <c r="J109" i="40"/>
  <c r="E108" i="29"/>
  <c r="J108" i="40"/>
  <c r="E107" i="29"/>
  <c r="J107" i="40"/>
  <c r="E106" i="29"/>
  <c r="J106" i="40"/>
  <c r="E105" i="29"/>
  <c r="J105" i="40"/>
  <c r="E104" i="29"/>
  <c r="J104" i="40"/>
  <c r="E103" i="29"/>
  <c r="J103" i="40"/>
  <c r="E102" i="29"/>
  <c r="J102" i="40"/>
  <c r="E101" i="29"/>
  <c r="J101" i="40"/>
  <c r="E100" i="29"/>
  <c r="J100" i="40"/>
  <c r="E99" i="29"/>
  <c r="J99" i="40"/>
  <c r="E98" i="29"/>
  <c r="J98" i="40"/>
  <c r="E97" i="29"/>
  <c r="J97" i="40"/>
  <c r="E96" i="29"/>
  <c r="J96" i="40"/>
  <c r="E95" i="29"/>
  <c r="J95" i="40"/>
  <c r="E94" i="29"/>
  <c r="J94" i="40"/>
  <c r="E93" i="29"/>
  <c r="J93" i="40"/>
  <c r="E92" i="29"/>
  <c r="J92" i="40"/>
  <c r="E91" i="29"/>
  <c r="J91" i="40"/>
  <c r="E90" i="29"/>
  <c r="J90" i="40"/>
  <c r="E89" i="29"/>
  <c r="J89" i="40"/>
  <c r="E88" i="29"/>
  <c r="J88" i="40"/>
  <c r="E87" i="29"/>
  <c r="J87" i="40"/>
  <c r="J86" i="40"/>
  <c r="E85" i="29"/>
  <c r="J85" i="40"/>
  <c r="E84" i="29"/>
  <c r="J84" i="40"/>
  <c r="E83" i="29"/>
  <c r="J83" i="40"/>
  <c r="E82" i="29"/>
  <c r="J82" i="40"/>
  <c r="E81" i="29"/>
  <c r="J81" i="40"/>
  <c r="E80" i="29"/>
  <c r="J80" i="40"/>
  <c r="E79" i="29"/>
  <c r="J79" i="40"/>
  <c r="E78" i="29"/>
  <c r="J78" i="40"/>
  <c r="E77" i="29"/>
  <c r="J77" i="40"/>
  <c r="E76" i="29"/>
  <c r="J76" i="40"/>
  <c r="E75" i="29"/>
  <c r="J75" i="40"/>
  <c r="E74" i="29"/>
  <c r="J74" i="40"/>
  <c r="E73" i="29"/>
  <c r="J73" i="40"/>
  <c r="E72" i="29"/>
  <c r="J72" i="40"/>
  <c r="E71" i="29"/>
  <c r="J71" i="40"/>
  <c r="E70" i="29"/>
  <c r="J70" i="40"/>
  <c r="E69" i="29"/>
  <c r="J69" i="40"/>
  <c r="E68" i="29"/>
  <c r="J68" i="40"/>
  <c r="J67" i="40"/>
  <c r="E66" i="29"/>
  <c r="J66" i="40"/>
  <c r="E65" i="29"/>
  <c r="J65" i="40"/>
  <c r="E64" i="29"/>
  <c r="J64" i="40"/>
  <c r="E63" i="29"/>
  <c r="J63" i="40"/>
  <c r="E62" i="29"/>
  <c r="J62" i="40"/>
  <c r="E61" i="29"/>
  <c r="J61" i="40"/>
  <c r="E60" i="29"/>
  <c r="J60" i="40"/>
  <c r="E59" i="29"/>
  <c r="J59" i="40"/>
  <c r="E58" i="29"/>
  <c r="J58" i="40"/>
  <c r="E57" i="29"/>
  <c r="J57" i="40"/>
  <c r="E56" i="29"/>
  <c r="J56" i="40"/>
  <c r="E55" i="29"/>
  <c r="J55" i="40"/>
  <c r="E54" i="29"/>
  <c r="J54" i="40"/>
  <c r="E53" i="29"/>
  <c r="J53" i="40"/>
  <c r="E52" i="29"/>
  <c r="J52" i="40"/>
  <c r="E51" i="29"/>
  <c r="J51" i="40"/>
  <c r="E50" i="29"/>
  <c r="J50" i="40"/>
  <c r="E49" i="29"/>
  <c r="J49" i="40"/>
  <c r="E48" i="29"/>
  <c r="J48" i="40"/>
  <c r="E47" i="29"/>
  <c r="J47" i="40"/>
  <c r="E46" i="29"/>
  <c r="J46" i="40"/>
  <c r="E45" i="29"/>
  <c r="J45" i="40"/>
  <c r="E44" i="29"/>
  <c r="J44" i="40"/>
  <c r="E43" i="29"/>
  <c r="J43" i="40"/>
  <c r="E42" i="29"/>
  <c r="J42" i="40"/>
  <c r="E41" i="29"/>
  <c r="J41" i="40"/>
  <c r="E40" i="29"/>
  <c r="J40" i="40"/>
  <c r="E39" i="29"/>
  <c r="J39" i="40"/>
  <c r="E38" i="29"/>
  <c r="J38" i="40"/>
  <c r="E37" i="29"/>
  <c r="J37" i="40"/>
  <c r="E36" i="29"/>
  <c r="J36" i="40"/>
  <c r="E35" i="29"/>
  <c r="J35" i="40"/>
  <c r="E34" i="29"/>
  <c r="J34" i="40"/>
  <c r="E33" i="29"/>
  <c r="J33" i="40"/>
  <c r="E32" i="29"/>
  <c r="J32" i="40"/>
  <c r="E31" i="29"/>
  <c r="J31" i="40"/>
  <c r="E30" i="29"/>
  <c r="J30" i="40"/>
  <c r="E29" i="29"/>
  <c r="J29" i="40"/>
  <c r="E28" i="29"/>
  <c r="J28" i="40"/>
  <c r="E27" i="29"/>
  <c r="J27" i="40"/>
  <c r="E26" i="29"/>
  <c r="J26" i="40"/>
  <c r="E25" i="29"/>
  <c r="J25" i="40"/>
  <c r="E24" i="29"/>
  <c r="J24" i="40"/>
  <c r="E23" i="29"/>
  <c r="J23" i="40"/>
  <c r="J22" i="40"/>
  <c r="E21" i="29"/>
  <c r="J21" i="40"/>
  <c r="E20" i="29"/>
  <c r="J20" i="40"/>
  <c r="E19" i="29"/>
  <c r="J19" i="40"/>
  <c r="E18" i="29"/>
  <c r="E17" i="29"/>
  <c r="J17" i="40"/>
  <c r="E16" i="29"/>
  <c r="J16" i="40"/>
  <c r="E15" i="29"/>
  <c r="J15" i="40"/>
  <c r="E14" i="29"/>
  <c r="J14" i="40"/>
  <c r="E13" i="29"/>
  <c r="J13" i="40"/>
  <c r="E12" i="29"/>
  <c r="J12" i="40"/>
  <c r="E11" i="29"/>
  <c r="J11" i="40"/>
  <c r="E10" i="29"/>
  <c r="J10" i="40"/>
  <c r="E9" i="29"/>
  <c r="J9" i="40"/>
  <c r="E8" i="29"/>
  <c r="J8" i="40"/>
  <c r="E7" i="29"/>
  <c r="J7" i="40"/>
  <c r="E6" i="29"/>
  <c r="J6" i="40"/>
  <c r="E5" i="29"/>
  <c r="J5" i="40"/>
  <c r="E4" i="29"/>
  <c r="J4" i="40"/>
  <c r="F190" i="38"/>
  <c r="F192" i="38" s="1"/>
  <c r="G189" i="38"/>
  <c r="G188" i="38"/>
  <c r="J182" i="38"/>
  <c r="D181" i="29"/>
  <c r="J181" i="38"/>
  <c r="D180" i="29"/>
  <c r="J180" i="38"/>
  <c r="D179" i="29"/>
  <c r="J179" i="38"/>
  <c r="D178" i="29"/>
  <c r="J178" i="38"/>
  <c r="D177" i="29"/>
  <c r="J177" i="38"/>
  <c r="D176" i="29"/>
  <c r="J176" i="38"/>
  <c r="D175" i="29"/>
  <c r="J175" i="38"/>
  <c r="D174" i="29"/>
  <c r="J174" i="38"/>
  <c r="D173" i="29"/>
  <c r="J173" i="38"/>
  <c r="D172" i="29"/>
  <c r="J172" i="38"/>
  <c r="D171" i="29"/>
  <c r="J171" i="38"/>
  <c r="D170" i="29"/>
  <c r="J170" i="38"/>
  <c r="D169" i="29"/>
  <c r="J169" i="38"/>
  <c r="D168" i="29"/>
  <c r="J168" i="38"/>
  <c r="D167" i="29"/>
  <c r="J167" i="38"/>
  <c r="D166" i="29"/>
  <c r="J166" i="38"/>
  <c r="D165" i="29"/>
  <c r="J165" i="38"/>
  <c r="D164" i="29"/>
  <c r="J164" i="38"/>
  <c r="D163" i="29"/>
  <c r="J163" i="38"/>
  <c r="D162" i="29"/>
  <c r="J162" i="38"/>
  <c r="D161" i="29"/>
  <c r="J161" i="38"/>
  <c r="D160" i="29"/>
  <c r="J160" i="38"/>
  <c r="D159" i="29"/>
  <c r="J159" i="38"/>
  <c r="D158" i="29"/>
  <c r="J158" i="38"/>
  <c r="D157" i="29"/>
  <c r="J157" i="38"/>
  <c r="D156" i="29"/>
  <c r="J156" i="38"/>
  <c r="D155" i="29"/>
  <c r="J155" i="38"/>
  <c r="D154" i="29"/>
  <c r="J154" i="38"/>
  <c r="D153" i="29"/>
  <c r="J153" i="38"/>
  <c r="D152" i="29"/>
  <c r="J152" i="38"/>
  <c r="D151" i="29"/>
  <c r="J151" i="38"/>
  <c r="D150" i="29"/>
  <c r="J150" i="38"/>
  <c r="D149" i="29"/>
  <c r="J149" i="38"/>
  <c r="D148" i="29"/>
  <c r="J148" i="38"/>
  <c r="D147" i="29"/>
  <c r="J147" i="38"/>
  <c r="D146" i="29"/>
  <c r="J146" i="38"/>
  <c r="D145" i="29"/>
  <c r="J145" i="38"/>
  <c r="D144" i="29"/>
  <c r="J144" i="38"/>
  <c r="D143" i="29"/>
  <c r="J143" i="38"/>
  <c r="D142" i="29"/>
  <c r="J142" i="38"/>
  <c r="D141" i="29"/>
  <c r="J141" i="38"/>
  <c r="D140" i="29"/>
  <c r="J140" i="38"/>
  <c r="D139" i="29"/>
  <c r="J139" i="38"/>
  <c r="D138" i="29"/>
  <c r="J138" i="38"/>
  <c r="D137" i="29"/>
  <c r="J137" i="38"/>
  <c r="D136" i="29"/>
  <c r="J136" i="38"/>
  <c r="D135" i="29"/>
  <c r="J135" i="38"/>
  <c r="D134" i="29"/>
  <c r="J134" i="38"/>
  <c r="D133" i="29"/>
  <c r="J133" i="38"/>
  <c r="D132" i="29"/>
  <c r="J132" i="38"/>
  <c r="D131" i="29"/>
  <c r="J131" i="38"/>
  <c r="D130" i="29"/>
  <c r="J130" i="38"/>
  <c r="D129" i="29"/>
  <c r="J129" i="38"/>
  <c r="D128" i="29"/>
  <c r="J128" i="38"/>
  <c r="D127" i="29"/>
  <c r="J127" i="38"/>
  <c r="D126" i="29"/>
  <c r="J126" i="38"/>
  <c r="D125" i="29"/>
  <c r="J125" i="38"/>
  <c r="D124" i="29"/>
  <c r="J124" i="38"/>
  <c r="D123" i="29"/>
  <c r="J123" i="38"/>
  <c r="D122" i="29"/>
  <c r="J122" i="38"/>
  <c r="D121" i="29"/>
  <c r="J121" i="38"/>
  <c r="D120" i="29"/>
  <c r="J120" i="38"/>
  <c r="D119" i="29"/>
  <c r="J119" i="38"/>
  <c r="D118" i="29"/>
  <c r="J118" i="38"/>
  <c r="D117" i="29"/>
  <c r="J117" i="38"/>
  <c r="D116" i="29"/>
  <c r="J116" i="38"/>
  <c r="D115" i="29"/>
  <c r="J115" i="38"/>
  <c r="D114" i="29"/>
  <c r="J114" i="38"/>
  <c r="D113" i="29"/>
  <c r="J113" i="38"/>
  <c r="D112" i="29"/>
  <c r="J112" i="38"/>
  <c r="D111" i="29"/>
  <c r="J111" i="38"/>
  <c r="D110" i="29"/>
  <c r="J110" i="38"/>
  <c r="D109" i="29"/>
  <c r="J109" i="38"/>
  <c r="D108" i="29"/>
  <c r="J108" i="38"/>
  <c r="D107" i="29"/>
  <c r="J107" i="38"/>
  <c r="D106" i="29"/>
  <c r="J106" i="38"/>
  <c r="D105" i="29"/>
  <c r="J105" i="38"/>
  <c r="D104" i="29"/>
  <c r="J104" i="38"/>
  <c r="D103" i="29"/>
  <c r="J103" i="38"/>
  <c r="D102" i="29"/>
  <c r="J102" i="38"/>
  <c r="D101" i="29"/>
  <c r="J101" i="38"/>
  <c r="D100" i="29"/>
  <c r="J100" i="38"/>
  <c r="D99" i="29"/>
  <c r="J99" i="38"/>
  <c r="D98" i="29"/>
  <c r="J98" i="38"/>
  <c r="D97" i="29"/>
  <c r="J97" i="38"/>
  <c r="D96" i="29"/>
  <c r="J96" i="38"/>
  <c r="D95" i="29"/>
  <c r="J95" i="38"/>
  <c r="D94" i="29"/>
  <c r="J94" i="38"/>
  <c r="D93" i="29"/>
  <c r="J93" i="38"/>
  <c r="D92" i="29"/>
  <c r="J92" i="38"/>
  <c r="D91" i="29"/>
  <c r="J91" i="38"/>
  <c r="D90" i="29"/>
  <c r="J90" i="38"/>
  <c r="D89" i="29"/>
  <c r="J89" i="38"/>
  <c r="D88" i="29"/>
  <c r="J88" i="38"/>
  <c r="D87" i="29"/>
  <c r="J87" i="38"/>
  <c r="D86" i="29"/>
  <c r="J86" i="38"/>
  <c r="D85" i="29"/>
  <c r="J85" i="38"/>
  <c r="D84" i="29"/>
  <c r="J84" i="38"/>
  <c r="D83" i="29"/>
  <c r="J83" i="38"/>
  <c r="D82" i="29"/>
  <c r="J82" i="38"/>
  <c r="D81" i="29"/>
  <c r="J81" i="38"/>
  <c r="D80" i="29"/>
  <c r="J80" i="38"/>
  <c r="D79" i="29"/>
  <c r="J79" i="38"/>
  <c r="D78" i="29"/>
  <c r="J78" i="38"/>
  <c r="D77" i="29"/>
  <c r="J77" i="38"/>
  <c r="D76" i="29"/>
  <c r="J76" i="38"/>
  <c r="D75" i="29"/>
  <c r="J75" i="38"/>
  <c r="D74" i="29"/>
  <c r="J74" i="38"/>
  <c r="D73" i="29"/>
  <c r="J73" i="38"/>
  <c r="D72" i="29"/>
  <c r="J72" i="38"/>
  <c r="D71" i="29"/>
  <c r="J71" i="38"/>
  <c r="D70" i="29"/>
  <c r="J70" i="38"/>
  <c r="D69" i="29"/>
  <c r="J69" i="38"/>
  <c r="D68" i="29"/>
  <c r="J68" i="38"/>
  <c r="D67" i="29"/>
  <c r="J67" i="38"/>
  <c r="D66" i="29"/>
  <c r="J66" i="38"/>
  <c r="D65" i="29"/>
  <c r="J65" i="38"/>
  <c r="D64" i="29"/>
  <c r="J64" i="38"/>
  <c r="D63" i="29"/>
  <c r="J63" i="38"/>
  <c r="D62" i="29"/>
  <c r="J62" i="38"/>
  <c r="D61" i="29"/>
  <c r="J61" i="38"/>
  <c r="D60" i="29"/>
  <c r="J60" i="38"/>
  <c r="D59" i="29"/>
  <c r="J59" i="38"/>
  <c r="D58" i="29"/>
  <c r="J58" i="38"/>
  <c r="D57" i="29"/>
  <c r="J57" i="38"/>
  <c r="D56" i="29"/>
  <c r="J56" i="38"/>
  <c r="D55" i="29"/>
  <c r="J55" i="38"/>
  <c r="D54" i="29"/>
  <c r="J54" i="38"/>
  <c r="D53" i="29"/>
  <c r="J53" i="38"/>
  <c r="D52" i="29"/>
  <c r="J52" i="38"/>
  <c r="D51" i="29"/>
  <c r="J51" i="38"/>
  <c r="D50" i="29"/>
  <c r="J50" i="38"/>
  <c r="D49" i="29"/>
  <c r="J49" i="38"/>
  <c r="D48" i="29"/>
  <c r="J48" i="38"/>
  <c r="D47" i="29"/>
  <c r="J47" i="38"/>
  <c r="D46" i="29"/>
  <c r="J46" i="38"/>
  <c r="D45" i="29"/>
  <c r="J45" i="38"/>
  <c r="D44" i="29"/>
  <c r="J44" i="38"/>
  <c r="D43" i="29"/>
  <c r="J43" i="38"/>
  <c r="D42" i="29"/>
  <c r="J42" i="38"/>
  <c r="D41" i="29"/>
  <c r="J41" i="38"/>
  <c r="D40" i="29"/>
  <c r="J40" i="38"/>
  <c r="D39" i="29"/>
  <c r="J39" i="38"/>
  <c r="D38" i="29"/>
  <c r="J38" i="38"/>
  <c r="D37" i="29"/>
  <c r="J37" i="38"/>
  <c r="D36" i="29"/>
  <c r="J36" i="38"/>
  <c r="D35" i="29"/>
  <c r="J35" i="38"/>
  <c r="D34" i="29"/>
  <c r="J34" i="38"/>
  <c r="D33" i="29"/>
  <c r="J33" i="38"/>
  <c r="D32" i="29"/>
  <c r="J32" i="38"/>
  <c r="D31" i="29"/>
  <c r="J31" i="38"/>
  <c r="D30" i="29"/>
  <c r="J30" i="38"/>
  <c r="D29" i="29"/>
  <c r="J29" i="38"/>
  <c r="D28" i="29"/>
  <c r="J28" i="38"/>
  <c r="D27" i="29"/>
  <c r="J27" i="38"/>
  <c r="D26" i="29"/>
  <c r="J26" i="38"/>
  <c r="D25" i="29"/>
  <c r="J25" i="38"/>
  <c r="D24" i="29"/>
  <c r="J24" i="38"/>
  <c r="D23" i="29"/>
  <c r="J23" i="38"/>
  <c r="D22" i="29"/>
  <c r="J22" i="38"/>
  <c r="D21" i="29"/>
  <c r="J21" i="38"/>
  <c r="D20" i="29"/>
  <c r="J20" i="38"/>
  <c r="D19" i="29"/>
  <c r="J19" i="38"/>
  <c r="D18" i="29"/>
  <c r="D17" i="29"/>
  <c r="J17" i="38"/>
  <c r="D16" i="29"/>
  <c r="J16" i="38"/>
  <c r="D15" i="29"/>
  <c r="J15" i="38"/>
  <c r="D14" i="29"/>
  <c r="J14" i="38"/>
  <c r="D13" i="29"/>
  <c r="J13" i="38"/>
  <c r="D12" i="29"/>
  <c r="J12" i="38"/>
  <c r="D11" i="29"/>
  <c r="J11" i="38"/>
  <c r="D10" i="29"/>
  <c r="J10" i="38"/>
  <c r="D9" i="29"/>
  <c r="J9" i="38"/>
  <c r="D8" i="29"/>
  <c r="J8" i="38"/>
  <c r="D7" i="29"/>
  <c r="J7" i="38"/>
  <c r="D6" i="29"/>
  <c r="D5" i="29"/>
  <c r="J5" i="38"/>
  <c r="D4" i="29"/>
  <c r="J4" i="38"/>
  <c r="D3" i="29"/>
  <c r="D2" i="29"/>
  <c r="AL185" i="4"/>
  <c r="AI185" i="4"/>
  <c r="AF185" i="4"/>
  <c r="AC185" i="4"/>
  <c r="Z185" i="4"/>
  <c r="W185" i="4"/>
  <c r="T185" i="4"/>
  <c r="Q185" i="4"/>
  <c r="N185" i="4"/>
  <c r="K185" i="4"/>
  <c r="H185" i="4"/>
  <c r="E185" i="4"/>
  <c r="AL184" i="4"/>
  <c r="AI184" i="4"/>
  <c r="AF184" i="4"/>
  <c r="AC184" i="4"/>
  <c r="Z184" i="4"/>
  <c r="W184" i="4"/>
  <c r="T184" i="4"/>
  <c r="Q184" i="4"/>
  <c r="N184" i="4"/>
  <c r="K184" i="4"/>
  <c r="H184" i="4"/>
  <c r="E184" i="4"/>
  <c r="AL183" i="4"/>
  <c r="AI183" i="4"/>
  <c r="AF183" i="4"/>
  <c r="AC183" i="4"/>
  <c r="Z183" i="4"/>
  <c r="W183" i="4"/>
  <c r="T183" i="4"/>
  <c r="Q183" i="4"/>
  <c r="N183" i="4"/>
  <c r="K183" i="4"/>
  <c r="H183" i="4"/>
  <c r="E183" i="4"/>
  <c r="AL182" i="4"/>
  <c r="AI182" i="4"/>
  <c r="AF182" i="4"/>
  <c r="AC182" i="4"/>
  <c r="Z182" i="4"/>
  <c r="W182" i="4"/>
  <c r="T182" i="4"/>
  <c r="Q182" i="4"/>
  <c r="N182" i="4"/>
  <c r="K182" i="4"/>
  <c r="H182" i="4"/>
  <c r="E182" i="4"/>
  <c r="AL181" i="4"/>
  <c r="AI181" i="4"/>
  <c r="AF181" i="4"/>
  <c r="AC181" i="4"/>
  <c r="Z181" i="4"/>
  <c r="W181" i="4"/>
  <c r="T181" i="4"/>
  <c r="Q181" i="4"/>
  <c r="N181" i="4"/>
  <c r="K181" i="4"/>
  <c r="H181" i="4"/>
  <c r="E181" i="4"/>
  <c r="AL180" i="4"/>
  <c r="AI180" i="4"/>
  <c r="AF180" i="4"/>
  <c r="AC180" i="4"/>
  <c r="Z180" i="4"/>
  <c r="W180" i="4"/>
  <c r="T180" i="4"/>
  <c r="Q180" i="4"/>
  <c r="N180" i="4"/>
  <c r="K180" i="4"/>
  <c r="H180" i="4"/>
  <c r="E180" i="4"/>
  <c r="AL179" i="4"/>
  <c r="AI179" i="4"/>
  <c r="AF179" i="4"/>
  <c r="AC179" i="4"/>
  <c r="Z179" i="4"/>
  <c r="W179" i="4"/>
  <c r="T179" i="4"/>
  <c r="Q179" i="4"/>
  <c r="N179" i="4"/>
  <c r="K179" i="4"/>
  <c r="H179" i="4"/>
  <c r="E179" i="4"/>
  <c r="AL178" i="4"/>
  <c r="AI178" i="4"/>
  <c r="AF178" i="4"/>
  <c r="AC178" i="4"/>
  <c r="Z178" i="4"/>
  <c r="W178" i="4"/>
  <c r="T178" i="4"/>
  <c r="Q178" i="4"/>
  <c r="N178" i="4"/>
  <c r="K178" i="4"/>
  <c r="H178" i="4"/>
  <c r="E178" i="4"/>
  <c r="AL177" i="4"/>
  <c r="AI177" i="4"/>
  <c r="AF177" i="4"/>
  <c r="AC177" i="4"/>
  <c r="Z177" i="4"/>
  <c r="W177" i="4"/>
  <c r="T177" i="4"/>
  <c r="Q177" i="4"/>
  <c r="N177" i="4"/>
  <c r="K177" i="4"/>
  <c r="H177" i="4"/>
  <c r="E177" i="4"/>
  <c r="AL176" i="4"/>
  <c r="AI176" i="4"/>
  <c r="AF176" i="4"/>
  <c r="AC176" i="4"/>
  <c r="Z176" i="4"/>
  <c r="W176" i="4"/>
  <c r="T176" i="4"/>
  <c r="Q176" i="4"/>
  <c r="N176" i="4"/>
  <c r="K176" i="4"/>
  <c r="H176" i="4"/>
  <c r="E176" i="4"/>
  <c r="AL175" i="4"/>
  <c r="AI175" i="4"/>
  <c r="AF175" i="4"/>
  <c r="AC175" i="4"/>
  <c r="Z175" i="4"/>
  <c r="W175" i="4"/>
  <c r="T175" i="4"/>
  <c r="Q175" i="4"/>
  <c r="N175" i="4"/>
  <c r="K175" i="4"/>
  <c r="H175" i="4"/>
  <c r="E175" i="4"/>
  <c r="AL174" i="4"/>
  <c r="AI174" i="4"/>
  <c r="AF174" i="4"/>
  <c r="AC174" i="4"/>
  <c r="Z174" i="4"/>
  <c r="W174" i="4"/>
  <c r="T174" i="4"/>
  <c r="Q174" i="4"/>
  <c r="N174" i="4"/>
  <c r="K174" i="4"/>
  <c r="H174" i="4"/>
  <c r="E174" i="4"/>
  <c r="AL173" i="4"/>
  <c r="AI173" i="4"/>
  <c r="AF173" i="4"/>
  <c r="AC173" i="4"/>
  <c r="Z173" i="4"/>
  <c r="W173" i="4"/>
  <c r="T173" i="4"/>
  <c r="Q173" i="4"/>
  <c r="N173" i="4"/>
  <c r="K173" i="4"/>
  <c r="H173" i="4"/>
  <c r="E173" i="4"/>
  <c r="AL172" i="4"/>
  <c r="AI172" i="4"/>
  <c r="AF172" i="4"/>
  <c r="AC172" i="4"/>
  <c r="Z172" i="4"/>
  <c r="W172" i="4"/>
  <c r="T172" i="4"/>
  <c r="Q172" i="4"/>
  <c r="N172" i="4"/>
  <c r="K172" i="4"/>
  <c r="H172" i="4"/>
  <c r="E172" i="4"/>
  <c r="AL171" i="4"/>
  <c r="AI171" i="4"/>
  <c r="AF171" i="4"/>
  <c r="AC171" i="4"/>
  <c r="Z171" i="4"/>
  <c r="W171" i="4"/>
  <c r="T171" i="4"/>
  <c r="Q171" i="4"/>
  <c r="N171" i="4"/>
  <c r="K171" i="4"/>
  <c r="H171" i="4"/>
  <c r="E171" i="4"/>
  <c r="AL170" i="4"/>
  <c r="AI170" i="4"/>
  <c r="AF170" i="4"/>
  <c r="AC170" i="4"/>
  <c r="Z170" i="4"/>
  <c r="W170" i="4"/>
  <c r="T170" i="4"/>
  <c r="Q170" i="4"/>
  <c r="N170" i="4"/>
  <c r="K170" i="4"/>
  <c r="H170" i="4"/>
  <c r="E170" i="4"/>
  <c r="AL169" i="4"/>
  <c r="AI169" i="4"/>
  <c r="AF169" i="4"/>
  <c r="AC169" i="4"/>
  <c r="Z169" i="4"/>
  <c r="W169" i="4"/>
  <c r="T169" i="4"/>
  <c r="Q169" i="4"/>
  <c r="N169" i="4"/>
  <c r="K169" i="4"/>
  <c r="H169" i="4"/>
  <c r="E169" i="4"/>
  <c r="AL168" i="4"/>
  <c r="AI168" i="4"/>
  <c r="AF168" i="4"/>
  <c r="AC168" i="4"/>
  <c r="Z168" i="4"/>
  <c r="W168" i="4"/>
  <c r="T168" i="4"/>
  <c r="Q168" i="4"/>
  <c r="N168" i="4"/>
  <c r="K168" i="4"/>
  <c r="H168" i="4"/>
  <c r="E168" i="4"/>
  <c r="AL167" i="4"/>
  <c r="AI167" i="4"/>
  <c r="AF167" i="4"/>
  <c r="AC167" i="4"/>
  <c r="Z167" i="4"/>
  <c r="W167" i="4"/>
  <c r="T167" i="4"/>
  <c r="Q167" i="4"/>
  <c r="N167" i="4"/>
  <c r="K167" i="4"/>
  <c r="H167" i="4"/>
  <c r="E167" i="4"/>
  <c r="AL166" i="4"/>
  <c r="AI166" i="4"/>
  <c r="AF166" i="4"/>
  <c r="AC166" i="4"/>
  <c r="Z166" i="4"/>
  <c r="W166" i="4"/>
  <c r="T166" i="4"/>
  <c r="Q166" i="4"/>
  <c r="N166" i="4"/>
  <c r="K166" i="4"/>
  <c r="H166" i="4"/>
  <c r="E166" i="4"/>
  <c r="AL165" i="4"/>
  <c r="AI165" i="4"/>
  <c r="AF165" i="4"/>
  <c r="AC165" i="4"/>
  <c r="Z165" i="4"/>
  <c r="W165" i="4"/>
  <c r="T165" i="4"/>
  <c r="Q165" i="4"/>
  <c r="N165" i="4"/>
  <c r="K165" i="4"/>
  <c r="H165" i="4"/>
  <c r="E165" i="4"/>
  <c r="AL164" i="4"/>
  <c r="AI164" i="4"/>
  <c r="AF164" i="4"/>
  <c r="AC164" i="4"/>
  <c r="Z164" i="4"/>
  <c r="W164" i="4"/>
  <c r="T164" i="4"/>
  <c r="Q164" i="4"/>
  <c r="N164" i="4"/>
  <c r="K164" i="4"/>
  <c r="H164" i="4"/>
  <c r="E164" i="4"/>
  <c r="AL163" i="4"/>
  <c r="AI163" i="4"/>
  <c r="AF163" i="4"/>
  <c r="AC163" i="4"/>
  <c r="Z163" i="4"/>
  <c r="W163" i="4"/>
  <c r="T163" i="4"/>
  <c r="Q163" i="4"/>
  <c r="N163" i="4"/>
  <c r="K163" i="4"/>
  <c r="H163" i="4"/>
  <c r="E163" i="4"/>
  <c r="AL162" i="4"/>
  <c r="AI162" i="4"/>
  <c r="AF162" i="4"/>
  <c r="AC162" i="4"/>
  <c r="Z162" i="4"/>
  <c r="W162" i="4"/>
  <c r="T162" i="4"/>
  <c r="Q162" i="4"/>
  <c r="N162" i="4"/>
  <c r="K162" i="4"/>
  <c r="H162" i="4"/>
  <c r="E162" i="4"/>
  <c r="AL161" i="4"/>
  <c r="AI161" i="4"/>
  <c r="AF161" i="4"/>
  <c r="AC161" i="4"/>
  <c r="Z161" i="4"/>
  <c r="W161" i="4"/>
  <c r="T161" i="4"/>
  <c r="Q161" i="4"/>
  <c r="N161" i="4"/>
  <c r="K161" i="4"/>
  <c r="H161" i="4"/>
  <c r="E161" i="4"/>
  <c r="AL160" i="4"/>
  <c r="AI160" i="4"/>
  <c r="AF160" i="4"/>
  <c r="AC160" i="4"/>
  <c r="Z160" i="4"/>
  <c r="W160" i="4"/>
  <c r="T160" i="4"/>
  <c r="Q160" i="4"/>
  <c r="N160" i="4"/>
  <c r="K160" i="4"/>
  <c r="H160" i="4"/>
  <c r="E160" i="4"/>
  <c r="AL159" i="4"/>
  <c r="AI159" i="4"/>
  <c r="AF159" i="4"/>
  <c r="AC159" i="4"/>
  <c r="Z159" i="4"/>
  <c r="W159" i="4"/>
  <c r="T159" i="4"/>
  <c r="Q159" i="4"/>
  <c r="N159" i="4"/>
  <c r="K159" i="4"/>
  <c r="H159" i="4"/>
  <c r="E159" i="4"/>
  <c r="AL158" i="4"/>
  <c r="AI158" i="4"/>
  <c r="AF158" i="4"/>
  <c r="AC158" i="4"/>
  <c r="Z158" i="4"/>
  <c r="W158" i="4"/>
  <c r="T158" i="4"/>
  <c r="Q158" i="4"/>
  <c r="N158" i="4"/>
  <c r="K158" i="4"/>
  <c r="H158" i="4"/>
  <c r="E158" i="4"/>
  <c r="AL157" i="4"/>
  <c r="AI157" i="4"/>
  <c r="AF157" i="4"/>
  <c r="AC157" i="4"/>
  <c r="Z157" i="4"/>
  <c r="W157" i="4"/>
  <c r="T157" i="4"/>
  <c r="Q157" i="4"/>
  <c r="N157" i="4"/>
  <c r="K157" i="4"/>
  <c r="H157" i="4"/>
  <c r="E157" i="4"/>
  <c r="AL156" i="4"/>
  <c r="AI156" i="4"/>
  <c r="AF156" i="4"/>
  <c r="AC156" i="4"/>
  <c r="Z156" i="4"/>
  <c r="W156" i="4"/>
  <c r="T156" i="4"/>
  <c r="Q156" i="4"/>
  <c r="N156" i="4"/>
  <c r="K156" i="4"/>
  <c r="H156" i="4"/>
  <c r="E156" i="4"/>
  <c r="AL155" i="4"/>
  <c r="AI155" i="4"/>
  <c r="AF155" i="4"/>
  <c r="AC155" i="4"/>
  <c r="Z155" i="4"/>
  <c r="W155" i="4"/>
  <c r="T155" i="4"/>
  <c r="Q155" i="4"/>
  <c r="N155" i="4"/>
  <c r="K155" i="4"/>
  <c r="H155" i="4"/>
  <c r="E155" i="4"/>
  <c r="AL154" i="4"/>
  <c r="AI154" i="4"/>
  <c r="AF154" i="4"/>
  <c r="AC154" i="4"/>
  <c r="Z154" i="4"/>
  <c r="W154" i="4"/>
  <c r="T154" i="4"/>
  <c r="Q154" i="4"/>
  <c r="N154" i="4"/>
  <c r="K154" i="4"/>
  <c r="H154" i="4"/>
  <c r="E154" i="4"/>
  <c r="AL153" i="4"/>
  <c r="AI153" i="4"/>
  <c r="AF153" i="4"/>
  <c r="AC153" i="4"/>
  <c r="Z153" i="4"/>
  <c r="W153" i="4"/>
  <c r="T153" i="4"/>
  <c r="Q153" i="4"/>
  <c r="N153" i="4"/>
  <c r="K153" i="4"/>
  <c r="H153" i="4"/>
  <c r="E153" i="4"/>
  <c r="AL152" i="4"/>
  <c r="AI152" i="4"/>
  <c r="AF152" i="4"/>
  <c r="AC152" i="4"/>
  <c r="Z152" i="4"/>
  <c r="W152" i="4"/>
  <c r="T152" i="4"/>
  <c r="Q152" i="4"/>
  <c r="N152" i="4"/>
  <c r="K152" i="4"/>
  <c r="H152" i="4"/>
  <c r="E152" i="4"/>
  <c r="AL151" i="4"/>
  <c r="AI151" i="4"/>
  <c r="AF151" i="4"/>
  <c r="AC151" i="4"/>
  <c r="Z151" i="4"/>
  <c r="W151" i="4"/>
  <c r="T151" i="4"/>
  <c r="Q151" i="4"/>
  <c r="N151" i="4"/>
  <c r="K151" i="4"/>
  <c r="H151" i="4"/>
  <c r="E151" i="4"/>
  <c r="AL150" i="4"/>
  <c r="AI150" i="4"/>
  <c r="AF150" i="4"/>
  <c r="AC150" i="4"/>
  <c r="Z150" i="4"/>
  <c r="W150" i="4"/>
  <c r="T150" i="4"/>
  <c r="Q150" i="4"/>
  <c r="N150" i="4"/>
  <c r="K150" i="4"/>
  <c r="H150" i="4"/>
  <c r="E150" i="4"/>
  <c r="AL149" i="4"/>
  <c r="AI149" i="4"/>
  <c r="AF149" i="4"/>
  <c r="AC149" i="4"/>
  <c r="Z149" i="4"/>
  <c r="W149" i="4"/>
  <c r="T149" i="4"/>
  <c r="Q149" i="4"/>
  <c r="N149" i="4"/>
  <c r="K149" i="4"/>
  <c r="H149" i="4"/>
  <c r="E149" i="4"/>
  <c r="AL148" i="4"/>
  <c r="AI148" i="4"/>
  <c r="AF148" i="4"/>
  <c r="AC148" i="4"/>
  <c r="Z148" i="4"/>
  <c r="W148" i="4"/>
  <c r="T148" i="4"/>
  <c r="Q148" i="4"/>
  <c r="N148" i="4"/>
  <c r="K148" i="4"/>
  <c r="H148" i="4"/>
  <c r="E148" i="4"/>
  <c r="AL147" i="4"/>
  <c r="AI147" i="4"/>
  <c r="AF147" i="4"/>
  <c r="AC147" i="4"/>
  <c r="Z147" i="4"/>
  <c r="W147" i="4"/>
  <c r="T147" i="4"/>
  <c r="Q147" i="4"/>
  <c r="N147" i="4"/>
  <c r="K147" i="4"/>
  <c r="H147" i="4"/>
  <c r="E147" i="4"/>
  <c r="AL146" i="4"/>
  <c r="AI146" i="4"/>
  <c r="AF146" i="4"/>
  <c r="AC146" i="4"/>
  <c r="Z146" i="4"/>
  <c r="W146" i="4"/>
  <c r="T146" i="4"/>
  <c r="Q146" i="4"/>
  <c r="N146" i="4"/>
  <c r="K146" i="4"/>
  <c r="H146" i="4"/>
  <c r="E146" i="4"/>
  <c r="AL145" i="4"/>
  <c r="AI145" i="4"/>
  <c r="AF145" i="4"/>
  <c r="AC145" i="4"/>
  <c r="Z145" i="4"/>
  <c r="W145" i="4"/>
  <c r="T145" i="4"/>
  <c r="Q145" i="4"/>
  <c r="N145" i="4"/>
  <c r="K145" i="4"/>
  <c r="H145" i="4"/>
  <c r="E145" i="4"/>
  <c r="AL144" i="4"/>
  <c r="AI144" i="4"/>
  <c r="AF144" i="4"/>
  <c r="AC144" i="4"/>
  <c r="Z144" i="4"/>
  <c r="W144" i="4"/>
  <c r="T144" i="4"/>
  <c r="Q144" i="4"/>
  <c r="N144" i="4"/>
  <c r="K144" i="4"/>
  <c r="H144" i="4"/>
  <c r="E144" i="4"/>
  <c r="AL143" i="4"/>
  <c r="AI143" i="4"/>
  <c r="AF143" i="4"/>
  <c r="AC143" i="4"/>
  <c r="Z143" i="4"/>
  <c r="W143" i="4"/>
  <c r="T143" i="4"/>
  <c r="Q143" i="4"/>
  <c r="N143" i="4"/>
  <c r="K143" i="4"/>
  <c r="H143" i="4"/>
  <c r="E143" i="4"/>
  <c r="AL142" i="4"/>
  <c r="AI142" i="4"/>
  <c r="AF142" i="4"/>
  <c r="AC142" i="4"/>
  <c r="Z142" i="4"/>
  <c r="W142" i="4"/>
  <c r="T142" i="4"/>
  <c r="Q142" i="4"/>
  <c r="N142" i="4"/>
  <c r="K142" i="4"/>
  <c r="H142" i="4"/>
  <c r="E142" i="4"/>
  <c r="AL141" i="4"/>
  <c r="AI141" i="4"/>
  <c r="AF141" i="4"/>
  <c r="AC141" i="4"/>
  <c r="Z141" i="4"/>
  <c r="W141" i="4"/>
  <c r="T141" i="4"/>
  <c r="Q141" i="4"/>
  <c r="N141" i="4"/>
  <c r="K141" i="4"/>
  <c r="H141" i="4"/>
  <c r="E141" i="4"/>
  <c r="AL140" i="4"/>
  <c r="AI140" i="4"/>
  <c r="AF140" i="4"/>
  <c r="AC140" i="4"/>
  <c r="Z140" i="4"/>
  <c r="W140" i="4"/>
  <c r="T140" i="4"/>
  <c r="Q140" i="4"/>
  <c r="N140" i="4"/>
  <c r="K140" i="4"/>
  <c r="H140" i="4"/>
  <c r="E140" i="4"/>
  <c r="AL139" i="4"/>
  <c r="AI139" i="4"/>
  <c r="AF139" i="4"/>
  <c r="AC139" i="4"/>
  <c r="Z139" i="4"/>
  <c r="W139" i="4"/>
  <c r="T139" i="4"/>
  <c r="Q139" i="4"/>
  <c r="N139" i="4"/>
  <c r="K139" i="4"/>
  <c r="H139" i="4"/>
  <c r="E139" i="4"/>
  <c r="AL138" i="4"/>
  <c r="AI138" i="4"/>
  <c r="AF138" i="4"/>
  <c r="AC138" i="4"/>
  <c r="Z138" i="4"/>
  <c r="W138" i="4"/>
  <c r="T138" i="4"/>
  <c r="Q138" i="4"/>
  <c r="N138" i="4"/>
  <c r="K138" i="4"/>
  <c r="H138" i="4"/>
  <c r="E138" i="4"/>
  <c r="AL137" i="4"/>
  <c r="AI137" i="4"/>
  <c r="AF137" i="4"/>
  <c r="AC137" i="4"/>
  <c r="Z137" i="4"/>
  <c r="W137" i="4"/>
  <c r="T137" i="4"/>
  <c r="Q137" i="4"/>
  <c r="N137" i="4"/>
  <c r="K137" i="4"/>
  <c r="H137" i="4"/>
  <c r="E137" i="4"/>
  <c r="AL136" i="4"/>
  <c r="AI136" i="4"/>
  <c r="AF136" i="4"/>
  <c r="AC136" i="4"/>
  <c r="Z136" i="4"/>
  <c r="W136" i="4"/>
  <c r="T136" i="4"/>
  <c r="Q136" i="4"/>
  <c r="N136" i="4"/>
  <c r="K136" i="4"/>
  <c r="H136" i="4"/>
  <c r="E136" i="4"/>
  <c r="AL135" i="4"/>
  <c r="AI135" i="4"/>
  <c r="AF135" i="4"/>
  <c r="AC135" i="4"/>
  <c r="Z135" i="4"/>
  <c r="W135" i="4"/>
  <c r="T135" i="4"/>
  <c r="Q135" i="4"/>
  <c r="N135" i="4"/>
  <c r="K135" i="4"/>
  <c r="H135" i="4"/>
  <c r="E135" i="4"/>
  <c r="AL134" i="4"/>
  <c r="AI134" i="4"/>
  <c r="AF134" i="4"/>
  <c r="AC134" i="4"/>
  <c r="Z134" i="4"/>
  <c r="W134" i="4"/>
  <c r="T134" i="4"/>
  <c r="Q134" i="4"/>
  <c r="N134" i="4"/>
  <c r="K134" i="4"/>
  <c r="H134" i="4"/>
  <c r="E134" i="4"/>
  <c r="AL133" i="4"/>
  <c r="AI133" i="4"/>
  <c r="AF133" i="4"/>
  <c r="AC133" i="4"/>
  <c r="Z133" i="4"/>
  <c r="W133" i="4"/>
  <c r="T133" i="4"/>
  <c r="Q133" i="4"/>
  <c r="N133" i="4"/>
  <c r="K133" i="4"/>
  <c r="H133" i="4"/>
  <c r="E133" i="4"/>
  <c r="AL132" i="4"/>
  <c r="AI132" i="4"/>
  <c r="AF132" i="4"/>
  <c r="AC132" i="4"/>
  <c r="Z132" i="4"/>
  <c r="W132" i="4"/>
  <c r="T132" i="4"/>
  <c r="Q132" i="4"/>
  <c r="N132" i="4"/>
  <c r="K132" i="4"/>
  <c r="H132" i="4"/>
  <c r="E132" i="4"/>
  <c r="AL131" i="4"/>
  <c r="AI131" i="4"/>
  <c r="AF131" i="4"/>
  <c r="AC131" i="4"/>
  <c r="Z131" i="4"/>
  <c r="W131" i="4"/>
  <c r="T131" i="4"/>
  <c r="Q131" i="4"/>
  <c r="N131" i="4"/>
  <c r="K131" i="4"/>
  <c r="H131" i="4"/>
  <c r="E131" i="4"/>
  <c r="AL130" i="4"/>
  <c r="AI130" i="4"/>
  <c r="AF130" i="4"/>
  <c r="AC130" i="4"/>
  <c r="Z130" i="4"/>
  <c r="W130" i="4"/>
  <c r="T130" i="4"/>
  <c r="Q130" i="4"/>
  <c r="N130" i="4"/>
  <c r="K130" i="4"/>
  <c r="H130" i="4"/>
  <c r="E130" i="4"/>
  <c r="AL129" i="4"/>
  <c r="AI129" i="4"/>
  <c r="AF129" i="4"/>
  <c r="AC129" i="4"/>
  <c r="Z129" i="4"/>
  <c r="W129" i="4"/>
  <c r="T129" i="4"/>
  <c r="Q129" i="4"/>
  <c r="N129" i="4"/>
  <c r="K129" i="4"/>
  <c r="H129" i="4"/>
  <c r="E129" i="4"/>
  <c r="AL128" i="4"/>
  <c r="AI128" i="4"/>
  <c r="AF128" i="4"/>
  <c r="AC128" i="4"/>
  <c r="Z128" i="4"/>
  <c r="W128" i="4"/>
  <c r="T128" i="4"/>
  <c r="Q128" i="4"/>
  <c r="N128" i="4"/>
  <c r="K128" i="4"/>
  <c r="H128" i="4"/>
  <c r="E128" i="4"/>
  <c r="AL127" i="4"/>
  <c r="AI127" i="4"/>
  <c r="AF127" i="4"/>
  <c r="AC127" i="4"/>
  <c r="Z127" i="4"/>
  <c r="W127" i="4"/>
  <c r="T127" i="4"/>
  <c r="Q127" i="4"/>
  <c r="N127" i="4"/>
  <c r="K127" i="4"/>
  <c r="H127" i="4"/>
  <c r="E127" i="4"/>
  <c r="AL126" i="4"/>
  <c r="AI126" i="4"/>
  <c r="AF126" i="4"/>
  <c r="AC126" i="4"/>
  <c r="Z126" i="4"/>
  <c r="W126" i="4"/>
  <c r="T126" i="4"/>
  <c r="Q126" i="4"/>
  <c r="N126" i="4"/>
  <c r="K126" i="4"/>
  <c r="H126" i="4"/>
  <c r="E126" i="4"/>
  <c r="AL125" i="4"/>
  <c r="AI125" i="4"/>
  <c r="AF125" i="4"/>
  <c r="AC125" i="4"/>
  <c r="Z125" i="4"/>
  <c r="W125" i="4"/>
  <c r="T125" i="4"/>
  <c r="Q125" i="4"/>
  <c r="N125" i="4"/>
  <c r="K125" i="4"/>
  <c r="H125" i="4"/>
  <c r="E125" i="4"/>
  <c r="AL124" i="4"/>
  <c r="AI124" i="4"/>
  <c r="AF124" i="4"/>
  <c r="AC124" i="4"/>
  <c r="Z124" i="4"/>
  <c r="W124" i="4"/>
  <c r="T124" i="4"/>
  <c r="Q124" i="4"/>
  <c r="N124" i="4"/>
  <c r="K124" i="4"/>
  <c r="H124" i="4"/>
  <c r="E124" i="4"/>
  <c r="AL123" i="4"/>
  <c r="AI123" i="4"/>
  <c r="AF123" i="4"/>
  <c r="AC123" i="4"/>
  <c r="Z123" i="4"/>
  <c r="W123" i="4"/>
  <c r="T123" i="4"/>
  <c r="Q123" i="4"/>
  <c r="N123" i="4"/>
  <c r="K123" i="4"/>
  <c r="H123" i="4"/>
  <c r="E123" i="4"/>
  <c r="AL122" i="4"/>
  <c r="AI122" i="4"/>
  <c r="AF122" i="4"/>
  <c r="AC122" i="4"/>
  <c r="Z122" i="4"/>
  <c r="W122" i="4"/>
  <c r="T122" i="4"/>
  <c r="Q122" i="4"/>
  <c r="N122" i="4"/>
  <c r="K122" i="4"/>
  <c r="H122" i="4"/>
  <c r="E122" i="4"/>
  <c r="AL121" i="4"/>
  <c r="AI121" i="4"/>
  <c r="AF121" i="4"/>
  <c r="AC121" i="4"/>
  <c r="Z121" i="4"/>
  <c r="W121" i="4"/>
  <c r="T121" i="4"/>
  <c r="Q121" i="4"/>
  <c r="N121" i="4"/>
  <c r="K121" i="4"/>
  <c r="H121" i="4"/>
  <c r="E121" i="4"/>
  <c r="AL120" i="4"/>
  <c r="AI120" i="4"/>
  <c r="AF120" i="4"/>
  <c r="AC120" i="4"/>
  <c r="Z120" i="4"/>
  <c r="W120" i="4"/>
  <c r="T120" i="4"/>
  <c r="Q120" i="4"/>
  <c r="N120" i="4"/>
  <c r="K120" i="4"/>
  <c r="H120" i="4"/>
  <c r="E120" i="4"/>
  <c r="AL119" i="4"/>
  <c r="AI119" i="4"/>
  <c r="AF119" i="4"/>
  <c r="AC119" i="4"/>
  <c r="Z119" i="4"/>
  <c r="W119" i="4"/>
  <c r="T119" i="4"/>
  <c r="Q119" i="4"/>
  <c r="N119" i="4"/>
  <c r="K119" i="4"/>
  <c r="H119" i="4"/>
  <c r="E119" i="4"/>
  <c r="AL118" i="4"/>
  <c r="AI118" i="4"/>
  <c r="AF118" i="4"/>
  <c r="AC118" i="4"/>
  <c r="Z118" i="4"/>
  <c r="W118" i="4"/>
  <c r="T118" i="4"/>
  <c r="Q118" i="4"/>
  <c r="N118" i="4"/>
  <c r="K118" i="4"/>
  <c r="H118" i="4"/>
  <c r="E118" i="4"/>
  <c r="AL117" i="4"/>
  <c r="AI117" i="4"/>
  <c r="AF117" i="4"/>
  <c r="AC117" i="4"/>
  <c r="Z117" i="4"/>
  <c r="W117" i="4"/>
  <c r="T117" i="4"/>
  <c r="Q117" i="4"/>
  <c r="N117" i="4"/>
  <c r="K117" i="4"/>
  <c r="H117" i="4"/>
  <c r="E117" i="4"/>
  <c r="AL116" i="4"/>
  <c r="AI116" i="4"/>
  <c r="AF116" i="4"/>
  <c r="AC116" i="4"/>
  <c r="Z116" i="4"/>
  <c r="W116" i="4"/>
  <c r="T116" i="4"/>
  <c r="Q116" i="4"/>
  <c r="N116" i="4"/>
  <c r="K116" i="4"/>
  <c r="H116" i="4"/>
  <c r="E116" i="4"/>
  <c r="AL115" i="4"/>
  <c r="AI115" i="4"/>
  <c r="AF115" i="4"/>
  <c r="AC115" i="4"/>
  <c r="Z115" i="4"/>
  <c r="W115" i="4"/>
  <c r="T115" i="4"/>
  <c r="Q115" i="4"/>
  <c r="N115" i="4"/>
  <c r="K115" i="4"/>
  <c r="H115" i="4"/>
  <c r="E115" i="4"/>
  <c r="AL114" i="4"/>
  <c r="AI114" i="4"/>
  <c r="AF114" i="4"/>
  <c r="AC114" i="4"/>
  <c r="Z114" i="4"/>
  <c r="W114" i="4"/>
  <c r="T114" i="4"/>
  <c r="Q114" i="4"/>
  <c r="N114" i="4"/>
  <c r="K114" i="4"/>
  <c r="H114" i="4"/>
  <c r="E114" i="4"/>
  <c r="AL113" i="4"/>
  <c r="AI113" i="4"/>
  <c r="AF113" i="4"/>
  <c r="AC113" i="4"/>
  <c r="Z113" i="4"/>
  <c r="W113" i="4"/>
  <c r="T113" i="4"/>
  <c r="Q113" i="4"/>
  <c r="N113" i="4"/>
  <c r="K113" i="4"/>
  <c r="H113" i="4"/>
  <c r="E113" i="4"/>
  <c r="AL112" i="4"/>
  <c r="AI112" i="4"/>
  <c r="AF112" i="4"/>
  <c r="AC112" i="4"/>
  <c r="Z112" i="4"/>
  <c r="W112" i="4"/>
  <c r="T112" i="4"/>
  <c r="Q112" i="4"/>
  <c r="N112" i="4"/>
  <c r="K112" i="4"/>
  <c r="H112" i="4"/>
  <c r="E112" i="4"/>
  <c r="AL111" i="4"/>
  <c r="AI111" i="4"/>
  <c r="AF111" i="4"/>
  <c r="AC111" i="4"/>
  <c r="Z111" i="4"/>
  <c r="W111" i="4"/>
  <c r="T111" i="4"/>
  <c r="Q111" i="4"/>
  <c r="N111" i="4"/>
  <c r="K111" i="4"/>
  <c r="H111" i="4"/>
  <c r="E111" i="4"/>
  <c r="AL110" i="4"/>
  <c r="AI110" i="4"/>
  <c r="AF110" i="4"/>
  <c r="AC110" i="4"/>
  <c r="Z110" i="4"/>
  <c r="W110" i="4"/>
  <c r="T110" i="4"/>
  <c r="Q110" i="4"/>
  <c r="N110" i="4"/>
  <c r="K110" i="4"/>
  <c r="H110" i="4"/>
  <c r="E110" i="4"/>
  <c r="AL109" i="4"/>
  <c r="AI109" i="4"/>
  <c r="AF109" i="4"/>
  <c r="AC109" i="4"/>
  <c r="Z109" i="4"/>
  <c r="W109" i="4"/>
  <c r="T109" i="4"/>
  <c r="Q109" i="4"/>
  <c r="N109" i="4"/>
  <c r="K109" i="4"/>
  <c r="H109" i="4"/>
  <c r="E109" i="4"/>
  <c r="AL108" i="4"/>
  <c r="AI108" i="4"/>
  <c r="AF108" i="4"/>
  <c r="AC108" i="4"/>
  <c r="Z108" i="4"/>
  <c r="W108" i="4"/>
  <c r="T108" i="4"/>
  <c r="Q108" i="4"/>
  <c r="N108" i="4"/>
  <c r="K108" i="4"/>
  <c r="H108" i="4"/>
  <c r="E108" i="4"/>
  <c r="AL107" i="4"/>
  <c r="AI107" i="4"/>
  <c r="AF107" i="4"/>
  <c r="AC107" i="4"/>
  <c r="Z107" i="4"/>
  <c r="W107" i="4"/>
  <c r="T107" i="4"/>
  <c r="Q107" i="4"/>
  <c r="N107" i="4"/>
  <c r="K107" i="4"/>
  <c r="H107" i="4"/>
  <c r="E107" i="4"/>
  <c r="AL106" i="4"/>
  <c r="AI106" i="4"/>
  <c r="AF106" i="4"/>
  <c r="AC106" i="4"/>
  <c r="Z106" i="4"/>
  <c r="W106" i="4"/>
  <c r="T106" i="4"/>
  <c r="Q106" i="4"/>
  <c r="N106" i="4"/>
  <c r="K106" i="4"/>
  <c r="H106" i="4"/>
  <c r="E106" i="4"/>
  <c r="AL105" i="4"/>
  <c r="AI105" i="4"/>
  <c r="AF105" i="4"/>
  <c r="AC105" i="4"/>
  <c r="Z105" i="4"/>
  <c r="W105" i="4"/>
  <c r="T105" i="4"/>
  <c r="Q105" i="4"/>
  <c r="N105" i="4"/>
  <c r="K105" i="4"/>
  <c r="H105" i="4"/>
  <c r="E105" i="4"/>
  <c r="AL104" i="4"/>
  <c r="AI104" i="4"/>
  <c r="AF104" i="4"/>
  <c r="AC104" i="4"/>
  <c r="Z104" i="4"/>
  <c r="W104" i="4"/>
  <c r="T104" i="4"/>
  <c r="Q104" i="4"/>
  <c r="N104" i="4"/>
  <c r="K104" i="4"/>
  <c r="H104" i="4"/>
  <c r="E104" i="4"/>
  <c r="AL103" i="4"/>
  <c r="AI103" i="4"/>
  <c r="AF103" i="4"/>
  <c r="AC103" i="4"/>
  <c r="Z103" i="4"/>
  <c r="W103" i="4"/>
  <c r="T103" i="4"/>
  <c r="Q103" i="4"/>
  <c r="N103" i="4"/>
  <c r="K103" i="4"/>
  <c r="H103" i="4"/>
  <c r="E103" i="4"/>
  <c r="AL102" i="4"/>
  <c r="AI102" i="4"/>
  <c r="AF102" i="4"/>
  <c r="AC102" i="4"/>
  <c r="Z102" i="4"/>
  <c r="W102" i="4"/>
  <c r="T102" i="4"/>
  <c r="Q102" i="4"/>
  <c r="N102" i="4"/>
  <c r="K102" i="4"/>
  <c r="H102" i="4"/>
  <c r="E102" i="4"/>
  <c r="AL101" i="4"/>
  <c r="AI101" i="4"/>
  <c r="AF101" i="4"/>
  <c r="AC101" i="4"/>
  <c r="Z101" i="4"/>
  <c r="W101" i="4"/>
  <c r="T101" i="4"/>
  <c r="Q101" i="4"/>
  <c r="N101" i="4"/>
  <c r="K101" i="4"/>
  <c r="H101" i="4"/>
  <c r="E101" i="4"/>
  <c r="AL100" i="4"/>
  <c r="AI100" i="4"/>
  <c r="AF100" i="4"/>
  <c r="AC100" i="4"/>
  <c r="Z100" i="4"/>
  <c r="W100" i="4"/>
  <c r="T100" i="4"/>
  <c r="Q100" i="4"/>
  <c r="N100" i="4"/>
  <c r="K100" i="4"/>
  <c r="H100" i="4"/>
  <c r="E100" i="4"/>
  <c r="AL99" i="4"/>
  <c r="AI99" i="4"/>
  <c r="AF99" i="4"/>
  <c r="AC99" i="4"/>
  <c r="Z99" i="4"/>
  <c r="W99" i="4"/>
  <c r="T99" i="4"/>
  <c r="Q99" i="4"/>
  <c r="N99" i="4"/>
  <c r="K99" i="4"/>
  <c r="H99" i="4"/>
  <c r="E99" i="4"/>
  <c r="AL98" i="4"/>
  <c r="AI98" i="4"/>
  <c r="AF98" i="4"/>
  <c r="AC98" i="4"/>
  <c r="Z98" i="4"/>
  <c r="W98" i="4"/>
  <c r="T98" i="4"/>
  <c r="Q98" i="4"/>
  <c r="N98" i="4"/>
  <c r="K98" i="4"/>
  <c r="H98" i="4"/>
  <c r="E98" i="4"/>
  <c r="AL97" i="4"/>
  <c r="AI97" i="4"/>
  <c r="AF97" i="4"/>
  <c r="AC97" i="4"/>
  <c r="Z97" i="4"/>
  <c r="W97" i="4"/>
  <c r="T97" i="4"/>
  <c r="Q97" i="4"/>
  <c r="N97" i="4"/>
  <c r="K97" i="4"/>
  <c r="H97" i="4"/>
  <c r="E97" i="4"/>
  <c r="AL96" i="4"/>
  <c r="AI96" i="4"/>
  <c r="AF96" i="4"/>
  <c r="AC96" i="4"/>
  <c r="Z96" i="4"/>
  <c r="W96" i="4"/>
  <c r="T96" i="4"/>
  <c r="Q96" i="4"/>
  <c r="N96" i="4"/>
  <c r="K96" i="4"/>
  <c r="H96" i="4"/>
  <c r="E96" i="4"/>
  <c r="AL95" i="4"/>
  <c r="AI95" i="4"/>
  <c r="AF95" i="4"/>
  <c r="AC95" i="4"/>
  <c r="Z95" i="4"/>
  <c r="W95" i="4"/>
  <c r="T95" i="4"/>
  <c r="Q95" i="4"/>
  <c r="N95" i="4"/>
  <c r="K95" i="4"/>
  <c r="H95" i="4"/>
  <c r="E95" i="4"/>
  <c r="AL94" i="4"/>
  <c r="AI94" i="4"/>
  <c r="AF94" i="4"/>
  <c r="AC94" i="4"/>
  <c r="Z94" i="4"/>
  <c r="W94" i="4"/>
  <c r="T94" i="4"/>
  <c r="Q94" i="4"/>
  <c r="N94" i="4"/>
  <c r="K94" i="4"/>
  <c r="H94" i="4"/>
  <c r="E94" i="4"/>
  <c r="AL93" i="4"/>
  <c r="AI93" i="4"/>
  <c r="AF93" i="4"/>
  <c r="AC93" i="4"/>
  <c r="Z93" i="4"/>
  <c r="W93" i="4"/>
  <c r="T93" i="4"/>
  <c r="Q93" i="4"/>
  <c r="N93" i="4"/>
  <c r="K93" i="4"/>
  <c r="H93" i="4"/>
  <c r="E93" i="4"/>
  <c r="AL92" i="4"/>
  <c r="AI92" i="4"/>
  <c r="AF92" i="4"/>
  <c r="AC92" i="4"/>
  <c r="Z92" i="4"/>
  <c r="W92" i="4"/>
  <c r="T92" i="4"/>
  <c r="Q92" i="4"/>
  <c r="N92" i="4"/>
  <c r="K92" i="4"/>
  <c r="H92" i="4"/>
  <c r="E92" i="4"/>
  <c r="AL91" i="4"/>
  <c r="AI91" i="4"/>
  <c r="AF91" i="4"/>
  <c r="AC91" i="4"/>
  <c r="Z91" i="4"/>
  <c r="W91" i="4"/>
  <c r="T91" i="4"/>
  <c r="Q91" i="4"/>
  <c r="N91" i="4"/>
  <c r="K91" i="4"/>
  <c r="H91" i="4"/>
  <c r="E91" i="4"/>
  <c r="AL90" i="4"/>
  <c r="AI90" i="4"/>
  <c r="AF90" i="4"/>
  <c r="AC90" i="4"/>
  <c r="Z90" i="4"/>
  <c r="W90" i="4"/>
  <c r="T90" i="4"/>
  <c r="Q90" i="4"/>
  <c r="N90" i="4"/>
  <c r="K90" i="4"/>
  <c r="H90" i="4"/>
  <c r="E90" i="4"/>
  <c r="AL89" i="4"/>
  <c r="AI89" i="4"/>
  <c r="AF89" i="4"/>
  <c r="AC89" i="4"/>
  <c r="Z89" i="4"/>
  <c r="W89" i="4"/>
  <c r="T89" i="4"/>
  <c r="Q89" i="4"/>
  <c r="N89" i="4"/>
  <c r="K89" i="4"/>
  <c r="H89" i="4"/>
  <c r="E89" i="4"/>
  <c r="AL88" i="4"/>
  <c r="AI88" i="4"/>
  <c r="AF88" i="4"/>
  <c r="AC88" i="4"/>
  <c r="Z88" i="4"/>
  <c r="W88" i="4"/>
  <c r="T88" i="4"/>
  <c r="Q88" i="4"/>
  <c r="N88" i="4"/>
  <c r="K88" i="4"/>
  <c r="H88" i="4"/>
  <c r="E88" i="4"/>
  <c r="AL87" i="4"/>
  <c r="AI87" i="4"/>
  <c r="AF87" i="4"/>
  <c r="AC87" i="4"/>
  <c r="Z87" i="4"/>
  <c r="W87" i="4"/>
  <c r="T87" i="4"/>
  <c r="Q87" i="4"/>
  <c r="N87" i="4"/>
  <c r="K87" i="4"/>
  <c r="H87" i="4"/>
  <c r="E87" i="4"/>
  <c r="AL86" i="4"/>
  <c r="AI86" i="4"/>
  <c r="AF86" i="4"/>
  <c r="AC86" i="4"/>
  <c r="Z86" i="4"/>
  <c r="W86" i="4"/>
  <c r="T86" i="4"/>
  <c r="Q86" i="4"/>
  <c r="N86" i="4"/>
  <c r="K86" i="4"/>
  <c r="H86" i="4"/>
  <c r="E86" i="4"/>
  <c r="AL85" i="4"/>
  <c r="AI85" i="4"/>
  <c r="AF85" i="4"/>
  <c r="AC85" i="4"/>
  <c r="Z85" i="4"/>
  <c r="W85" i="4"/>
  <c r="T85" i="4"/>
  <c r="Q85" i="4"/>
  <c r="N85" i="4"/>
  <c r="K85" i="4"/>
  <c r="H85" i="4"/>
  <c r="E85" i="4"/>
  <c r="AL84" i="4"/>
  <c r="AI84" i="4"/>
  <c r="AF84" i="4"/>
  <c r="AC84" i="4"/>
  <c r="Z84" i="4"/>
  <c r="W84" i="4"/>
  <c r="T84" i="4"/>
  <c r="Q84" i="4"/>
  <c r="N84" i="4"/>
  <c r="K84" i="4"/>
  <c r="H84" i="4"/>
  <c r="E84" i="4"/>
  <c r="AL83" i="4"/>
  <c r="AI83" i="4"/>
  <c r="AF83" i="4"/>
  <c r="AC83" i="4"/>
  <c r="Z83" i="4"/>
  <c r="W83" i="4"/>
  <c r="T83" i="4"/>
  <c r="Q83" i="4"/>
  <c r="N83" i="4"/>
  <c r="K83" i="4"/>
  <c r="H83" i="4"/>
  <c r="E83" i="4"/>
  <c r="AL82" i="4"/>
  <c r="AI82" i="4"/>
  <c r="AF82" i="4"/>
  <c r="AC82" i="4"/>
  <c r="Z82" i="4"/>
  <c r="W82" i="4"/>
  <c r="T82" i="4"/>
  <c r="Q82" i="4"/>
  <c r="N82" i="4"/>
  <c r="K82" i="4"/>
  <c r="H82" i="4"/>
  <c r="E82" i="4"/>
  <c r="AL81" i="4"/>
  <c r="AI81" i="4"/>
  <c r="AF81" i="4"/>
  <c r="AC81" i="4"/>
  <c r="Z81" i="4"/>
  <c r="W81" i="4"/>
  <c r="T81" i="4"/>
  <c r="Q81" i="4"/>
  <c r="N81" i="4"/>
  <c r="K81" i="4"/>
  <c r="H81" i="4"/>
  <c r="E81" i="4"/>
  <c r="AL80" i="4"/>
  <c r="AI80" i="4"/>
  <c r="AF80" i="4"/>
  <c r="AC80" i="4"/>
  <c r="Z80" i="4"/>
  <c r="W80" i="4"/>
  <c r="T80" i="4"/>
  <c r="Q80" i="4"/>
  <c r="N80" i="4"/>
  <c r="K80" i="4"/>
  <c r="H80" i="4"/>
  <c r="E80" i="4"/>
  <c r="AL79" i="4"/>
  <c r="AI79" i="4"/>
  <c r="AF79" i="4"/>
  <c r="AC79" i="4"/>
  <c r="Z79" i="4"/>
  <c r="W79" i="4"/>
  <c r="T79" i="4"/>
  <c r="Q79" i="4"/>
  <c r="N79" i="4"/>
  <c r="K79" i="4"/>
  <c r="H79" i="4"/>
  <c r="E79" i="4"/>
  <c r="AL78" i="4"/>
  <c r="AI78" i="4"/>
  <c r="AF78" i="4"/>
  <c r="AC78" i="4"/>
  <c r="Z78" i="4"/>
  <c r="W78" i="4"/>
  <c r="T78" i="4"/>
  <c r="Q78" i="4"/>
  <c r="N78" i="4"/>
  <c r="K78" i="4"/>
  <c r="H78" i="4"/>
  <c r="E78" i="4"/>
  <c r="AL77" i="4"/>
  <c r="AI77" i="4"/>
  <c r="AF77" i="4"/>
  <c r="AC77" i="4"/>
  <c r="Z77" i="4"/>
  <c r="W77" i="4"/>
  <c r="T77" i="4"/>
  <c r="Q77" i="4"/>
  <c r="N77" i="4"/>
  <c r="K77" i="4"/>
  <c r="H77" i="4"/>
  <c r="E77" i="4"/>
  <c r="AL76" i="4"/>
  <c r="AI76" i="4"/>
  <c r="AF76" i="4"/>
  <c r="AC76" i="4"/>
  <c r="Z76" i="4"/>
  <c r="W76" i="4"/>
  <c r="T76" i="4"/>
  <c r="Q76" i="4"/>
  <c r="N76" i="4"/>
  <c r="K76" i="4"/>
  <c r="H76" i="4"/>
  <c r="E76" i="4"/>
  <c r="AL75" i="4"/>
  <c r="AI75" i="4"/>
  <c r="AF75" i="4"/>
  <c r="AC75" i="4"/>
  <c r="Z75" i="4"/>
  <c r="W75" i="4"/>
  <c r="T75" i="4"/>
  <c r="Q75" i="4"/>
  <c r="N75" i="4"/>
  <c r="K75" i="4"/>
  <c r="H75" i="4"/>
  <c r="E75" i="4"/>
  <c r="AL74" i="4"/>
  <c r="AI74" i="4"/>
  <c r="AF74" i="4"/>
  <c r="AC74" i="4"/>
  <c r="Z74" i="4"/>
  <c r="W74" i="4"/>
  <c r="T74" i="4"/>
  <c r="Q74" i="4"/>
  <c r="N74" i="4"/>
  <c r="K74" i="4"/>
  <c r="H74" i="4"/>
  <c r="E74" i="4"/>
  <c r="AL73" i="4"/>
  <c r="AI73" i="4"/>
  <c r="AF73" i="4"/>
  <c r="AC73" i="4"/>
  <c r="Z73" i="4"/>
  <c r="W73" i="4"/>
  <c r="T73" i="4"/>
  <c r="Q73" i="4"/>
  <c r="N73" i="4"/>
  <c r="K73" i="4"/>
  <c r="H73" i="4"/>
  <c r="E73" i="4"/>
  <c r="AL72" i="4"/>
  <c r="AI72" i="4"/>
  <c r="AF72" i="4"/>
  <c r="AC72" i="4"/>
  <c r="Z72" i="4"/>
  <c r="W72" i="4"/>
  <c r="T72" i="4"/>
  <c r="Q72" i="4"/>
  <c r="N72" i="4"/>
  <c r="K72" i="4"/>
  <c r="H72" i="4"/>
  <c r="E72" i="4"/>
  <c r="AL71" i="4"/>
  <c r="AI71" i="4"/>
  <c r="AF71" i="4"/>
  <c r="AC71" i="4"/>
  <c r="Z71" i="4"/>
  <c r="W71" i="4"/>
  <c r="T71" i="4"/>
  <c r="Q71" i="4"/>
  <c r="N71" i="4"/>
  <c r="K71" i="4"/>
  <c r="H71" i="4"/>
  <c r="E71" i="4"/>
  <c r="AL70" i="4"/>
  <c r="AI70" i="4"/>
  <c r="AF70" i="4"/>
  <c r="AC70" i="4"/>
  <c r="Z70" i="4"/>
  <c r="W70" i="4"/>
  <c r="T70" i="4"/>
  <c r="Q70" i="4"/>
  <c r="N70" i="4"/>
  <c r="K70" i="4"/>
  <c r="H70" i="4"/>
  <c r="E70" i="4"/>
  <c r="AL69" i="4"/>
  <c r="AI69" i="4"/>
  <c r="AF69" i="4"/>
  <c r="AC69" i="4"/>
  <c r="Z69" i="4"/>
  <c r="W69" i="4"/>
  <c r="T69" i="4"/>
  <c r="Q69" i="4"/>
  <c r="N69" i="4"/>
  <c r="K69" i="4"/>
  <c r="H69" i="4"/>
  <c r="E69" i="4"/>
  <c r="AL68" i="4"/>
  <c r="AI68" i="4"/>
  <c r="AF68" i="4"/>
  <c r="AC68" i="4"/>
  <c r="Z68" i="4"/>
  <c r="W68" i="4"/>
  <c r="T68" i="4"/>
  <c r="Q68" i="4"/>
  <c r="N68" i="4"/>
  <c r="K68" i="4"/>
  <c r="H68" i="4"/>
  <c r="E68" i="4"/>
  <c r="AL67" i="4"/>
  <c r="AI67" i="4"/>
  <c r="AF67" i="4"/>
  <c r="AC67" i="4"/>
  <c r="Z67" i="4"/>
  <c r="W67" i="4"/>
  <c r="T67" i="4"/>
  <c r="Q67" i="4"/>
  <c r="N67" i="4"/>
  <c r="K67" i="4"/>
  <c r="H67" i="4"/>
  <c r="E67" i="4"/>
  <c r="AL66" i="4"/>
  <c r="AI66" i="4"/>
  <c r="AF66" i="4"/>
  <c r="AC66" i="4"/>
  <c r="Z66" i="4"/>
  <c r="W66" i="4"/>
  <c r="T66" i="4"/>
  <c r="Q66" i="4"/>
  <c r="N66" i="4"/>
  <c r="K66" i="4"/>
  <c r="H66" i="4"/>
  <c r="E66" i="4"/>
  <c r="AL65" i="4"/>
  <c r="AI65" i="4"/>
  <c r="AF65" i="4"/>
  <c r="AC65" i="4"/>
  <c r="Z65" i="4"/>
  <c r="W65" i="4"/>
  <c r="T65" i="4"/>
  <c r="Q65" i="4"/>
  <c r="N65" i="4"/>
  <c r="K65" i="4"/>
  <c r="H65" i="4"/>
  <c r="E65" i="4"/>
  <c r="AL64" i="4"/>
  <c r="AI64" i="4"/>
  <c r="AF64" i="4"/>
  <c r="AC64" i="4"/>
  <c r="Z64" i="4"/>
  <c r="W64" i="4"/>
  <c r="T64" i="4"/>
  <c r="Q64" i="4"/>
  <c r="N64" i="4"/>
  <c r="K64" i="4"/>
  <c r="H64" i="4"/>
  <c r="E64" i="4"/>
  <c r="AL63" i="4"/>
  <c r="AI63" i="4"/>
  <c r="AF63" i="4"/>
  <c r="AC63" i="4"/>
  <c r="Z63" i="4"/>
  <c r="W63" i="4"/>
  <c r="T63" i="4"/>
  <c r="Q63" i="4"/>
  <c r="N63" i="4"/>
  <c r="K63" i="4"/>
  <c r="H63" i="4"/>
  <c r="E63" i="4"/>
  <c r="AL62" i="4"/>
  <c r="AI62" i="4"/>
  <c r="AF62" i="4"/>
  <c r="AC62" i="4"/>
  <c r="Z62" i="4"/>
  <c r="W62" i="4"/>
  <c r="T62" i="4"/>
  <c r="Q62" i="4"/>
  <c r="N62" i="4"/>
  <c r="K62" i="4"/>
  <c r="H62" i="4"/>
  <c r="E62" i="4"/>
  <c r="AL61" i="4"/>
  <c r="AI61" i="4"/>
  <c r="AF61" i="4"/>
  <c r="AC61" i="4"/>
  <c r="Z61" i="4"/>
  <c r="W61" i="4"/>
  <c r="T61" i="4"/>
  <c r="Q61" i="4"/>
  <c r="N61" i="4"/>
  <c r="K61" i="4"/>
  <c r="H61" i="4"/>
  <c r="E61" i="4"/>
  <c r="AL60" i="4"/>
  <c r="AI60" i="4"/>
  <c r="AF60" i="4"/>
  <c r="AC60" i="4"/>
  <c r="Z60" i="4"/>
  <c r="W60" i="4"/>
  <c r="T60" i="4"/>
  <c r="Q60" i="4"/>
  <c r="N60" i="4"/>
  <c r="K60" i="4"/>
  <c r="H60" i="4"/>
  <c r="E60" i="4"/>
  <c r="AL59" i="4"/>
  <c r="AI59" i="4"/>
  <c r="AF59" i="4"/>
  <c r="AC59" i="4"/>
  <c r="Z59" i="4"/>
  <c r="W59" i="4"/>
  <c r="T59" i="4"/>
  <c r="Q59" i="4"/>
  <c r="N59" i="4"/>
  <c r="K59" i="4"/>
  <c r="H59" i="4"/>
  <c r="E59" i="4"/>
  <c r="AL58" i="4"/>
  <c r="AI58" i="4"/>
  <c r="AF58" i="4"/>
  <c r="AC58" i="4"/>
  <c r="Z58" i="4"/>
  <c r="W58" i="4"/>
  <c r="T58" i="4"/>
  <c r="Q58" i="4"/>
  <c r="N58" i="4"/>
  <c r="K58" i="4"/>
  <c r="H58" i="4"/>
  <c r="E58" i="4"/>
  <c r="AL57" i="4"/>
  <c r="AI57" i="4"/>
  <c r="AF57" i="4"/>
  <c r="AC57" i="4"/>
  <c r="Z57" i="4"/>
  <c r="W57" i="4"/>
  <c r="T57" i="4"/>
  <c r="Q57" i="4"/>
  <c r="N57" i="4"/>
  <c r="K57" i="4"/>
  <c r="H57" i="4"/>
  <c r="E57" i="4"/>
  <c r="AL56" i="4"/>
  <c r="AI56" i="4"/>
  <c r="AF56" i="4"/>
  <c r="AC56" i="4"/>
  <c r="Z56" i="4"/>
  <c r="W56" i="4"/>
  <c r="T56" i="4"/>
  <c r="Q56" i="4"/>
  <c r="N56" i="4"/>
  <c r="K56" i="4"/>
  <c r="H56" i="4"/>
  <c r="E56" i="4"/>
  <c r="AL55" i="4"/>
  <c r="AI55" i="4"/>
  <c r="AF55" i="4"/>
  <c r="AC55" i="4"/>
  <c r="Z55" i="4"/>
  <c r="W55" i="4"/>
  <c r="T55" i="4"/>
  <c r="Q55" i="4"/>
  <c r="N55" i="4"/>
  <c r="K55" i="4"/>
  <c r="H55" i="4"/>
  <c r="E55" i="4"/>
  <c r="AL54" i="4"/>
  <c r="AI54" i="4"/>
  <c r="AF54" i="4"/>
  <c r="AC54" i="4"/>
  <c r="Z54" i="4"/>
  <c r="W54" i="4"/>
  <c r="T54" i="4"/>
  <c r="Q54" i="4"/>
  <c r="N54" i="4"/>
  <c r="K54" i="4"/>
  <c r="H54" i="4"/>
  <c r="E54" i="4"/>
  <c r="AL53" i="4"/>
  <c r="AI53" i="4"/>
  <c r="AF53" i="4"/>
  <c r="AC53" i="4"/>
  <c r="Z53" i="4"/>
  <c r="W53" i="4"/>
  <c r="T53" i="4"/>
  <c r="Q53" i="4"/>
  <c r="N53" i="4"/>
  <c r="K53" i="4"/>
  <c r="H53" i="4"/>
  <c r="E53" i="4"/>
  <c r="AL52" i="4"/>
  <c r="AI52" i="4"/>
  <c r="AF52" i="4"/>
  <c r="AC52" i="4"/>
  <c r="Z52" i="4"/>
  <c r="W52" i="4"/>
  <c r="T52" i="4"/>
  <c r="Q52" i="4"/>
  <c r="N52" i="4"/>
  <c r="K52" i="4"/>
  <c r="H52" i="4"/>
  <c r="E52" i="4"/>
  <c r="AL51" i="4"/>
  <c r="AI51" i="4"/>
  <c r="AF51" i="4"/>
  <c r="AC51" i="4"/>
  <c r="Z51" i="4"/>
  <c r="W51" i="4"/>
  <c r="T51" i="4"/>
  <c r="Q51" i="4"/>
  <c r="N51" i="4"/>
  <c r="K51" i="4"/>
  <c r="H51" i="4"/>
  <c r="E51" i="4"/>
  <c r="AL50" i="4"/>
  <c r="AI50" i="4"/>
  <c r="AF50" i="4"/>
  <c r="AC50" i="4"/>
  <c r="Z50" i="4"/>
  <c r="W50" i="4"/>
  <c r="T50" i="4"/>
  <c r="Q50" i="4"/>
  <c r="N50" i="4"/>
  <c r="K50" i="4"/>
  <c r="H50" i="4"/>
  <c r="E50" i="4"/>
  <c r="AL49" i="4"/>
  <c r="AI49" i="4"/>
  <c r="AF49" i="4"/>
  <c r="AC49" i="4"/>
  <c r="Z49" i="4"/>
  <c r="W49" i="4"/>
  <c r="T49" i="4"/>
  <c r="Q49" i="4"/>
  <c r="N49" i="4"/>
  <c r="K49" i="4"/>
  <c r="H49" i="4"/>
  <c r="E49" i="4"/>
  <c r="AL48" i="4"/>
  <c r="AI48" i="4"/>
  <c r="AF48" i="4"/>
  <c r="AC48" i="4"/>
  <c r="Z48" i="4"/>
  <c r="W48" i="4"/>
  <c r="T48" i="4"/>
  <c r="Q48" i="4"/>
  <c r="N48" i="4"/>
  <c r="K48" i="4"/>
  <c r="H48" i="4"/>
  <c r="E48" i="4"/>
  <c r="AL47" i="4"/>
  <c r="AI47" i="4"/>
  <c r="AF47" i="4"/>
  <c r="AC47" i="4"/>
  <c r="Z47" i="4"/>
  <c r="W47" i="4"/>
  <c r="T47" i="4"/>
  <c r="Q47" i="4"/>
  <c r="N47" i="4"/>
  <c r="K47" i="4"/>
  <c r="H47" i="4"/>
  <c r="E47" i="4"/>
  <c r="AL46" i="4"/>
  <c r="AI46" i="4"/>
  <c r="AF46" i="4"/>
  <c r="AC46" i="4"/>
  <c r="Z46" i="4"/>
  <c r="W46" i="4"/>
  <c r="T46" i="4"/>
  <c r="Q46" i="4"/>
  <c r="N46" i="4"/>
  <c r="K46" i="4"/>
  <c r="H46" i="4"/>
  <c r="E46" i="4"/>
  <c r="AL45" i="4"/>
  <c r="AI45" i="4"/>
  <c r="AF45" i="4"/>
  <c r="AC45" i="4"/>
  <c r="Z45" i="4"/>
  <c r="W45" i="4"/>
  <c r="T45" i="4"/>
  <c r="Q45" i="4"/>
  <c r="N45" i="4"/>
  <c r="K45" i="4"/>
  <c r="H45" i="4"/>
  <c r="E45" i="4"/>
  <c r="AL44" i="4"/>
  <c r="AI44" i="4"/>
  <c r="AF44" i="4"/>
  <c r="AC44" i="4"/>
  <c r="Z44" i="4"/>
  <c r="W44" i="4"/>
  <c r="T44" i="4"/>
  <c r="Q44" i="4"/>
  <c r="N44" i="4"/>
  <c r="K44" i="4"/>
  <c r="H44" i="4"/>
  <c r="E44" i="4"/>
  <c r="AL43" i="4"/>
  <c r="AI43" i="4"/>
  <c r="AF43" i="4"/>
  <c r="AC43" i="4"/>
  <c r="Z43" i="4"/>
  <c r="W43" i="4"/>
  <c r="T43" i="4"/>
  <c r="Q43" i="4"/>
  <c r="N43" i="4"/>
  <c r="K43" i="4"/>
  <c r="H43" i="4"/>
  <c r="E43" i="4"/>
  <c r="AL42" i="4"/>
  <c r="AI42" i="4"/>
  <c r="AF42" i="4"/>
  <c r="AC42" i="4"/>
  <c r="Z42" i="4"/>
  <c r="W42" i="4"/>
  <c r="T42" i="4"/>
  <c r="Q42" i="4"/>
  <c r="N42" i="4"/>
  <c r="K42" i="4"/>
  <c r="H42" i="4"/>
  <c r="E42" i="4"/>
  <c r="AL41" i="4"/>
  <c r="AI41" i="4"/>
  <c r="AF41" i="4"/>
  <c r="AC41" i="4"/>
  <c r="Z41" i="4"/>
  <c r="W41" i="4"/>
  <c r="T41" i="4"/>
  <c r="Q41" i="4"/>
  <c r="N41" i="4"/>
  <c r="K41" i="4"/>
  <c r="H41" i="4"/>
  <c r="E41" i="4"/>
  <c r="AL40" i="4"/>
  <c r="AI40" i="4"/>
  <c r="AF40" i="4"/>
  <c r="AC40" i="4"/>
  <c r="Z40" i="4"/>
  <c r="W40" i="4"/>
  <c r="T40" i="4"/>
  <c r="Q40" i="4"/>
  <c r="N40" i="4"/>
  <c r="K40" i="4"/>
  <c r="H40" i="4"/>
  <c r="E40" i="4"/>
  <c r="AL39" i="4"/>
  <c r="AI39" i="4"/>
  <c r="AF39" i="4"/>
  <c r="AC39" i="4"/>
  <c r="Z39" i="4"/>
  <c r="W39" i="4"/>
  <c r="T39" i="4"/>
  <c r="Q39" i="4"/>
  <c r="N39" i="4"/>
  <c r="K39" i="4"/>
  <c r="H39" i="4"/>
  <c r="E39" i="4"/>
  <c r="AL38" i="4"/>
  <c r="AI38" i="4"/>
  <c r="AF38" i="4"/>
  <c r="AC38" i="4"/>
  <c r="Z38" i="4"/>
  <c r="W38" i="4"/>
  <c r="T38" i="4"/>
  <c r="Q38" i="4"/>
  <c r="N38" i="4"/>
  <c r="K38" i="4"/>
  <c r="H38" i="4"/>
  <c r="E38" i="4"/>
  <c r="AL37" i="4"/>
  <c r="AI37" i="4"/>
  <c r="AF37" i="4"/>
  <c r="AC37" i="4"/>
  <c r="Z37" i="4"/>
  <c r="W37" i="4"/>
  <c r="T37" i="4"/>
  <c r="Q37" i="4"/>
  <c r="N37" i="4"/>
  <c r="K37" i="4"/>
  <c r="H37" i="4"/>
  <c r="E37" i="4"/>
  <c r="AL36" i="4"/>
  <c r="AI36" i="4"/>
  <c r="AF36" i="4"/>
  <c r="AC36" i="4"/>
  <c r="Z36" i="4"/>
  <c r="W36" i="4"/>
  <c r="T36" i="4"/>
  <c r="Q36" i="4"/>
  <c r="N36" i="4"/>
  <c r="K36" i="4"/>
  <c r="H36" i="4"/>
  <c r="E36" i="4"/>
  <c r="AL35" i="4"/>
  <c r="AI35" i="4"/>
  <c r="AF35" i="4"/>
  <c r="AC35" i="4"/>
  <c r="Z35" i="4"/>
  <c r="W35" i="4"/>
  <c r="T35" i="4"/>
  <c r="Q35" i="4"/>
  <c r="N35" i="4"/>
  <c r="K35" i="4"/>
  <c r="H35" i="4"/>
  <c r="E35" i="4"/>
  <c r="AL34" i="4"/>
  <c r="AI34" i="4"/>
  <c r="AF34" i="4"/>
  <c r="AC34" i="4"/>
  <c r="Z34" i="4"/>
  <c r="W34" i="4"/>
  <c r="T34" i="4"/>
  <c r="Q34" i="4"/>
  <c r="N34" i="4"/>
  <c r="K34" i="4"/>
  <c r="H34" i="4"/>
  <c r="E34" i="4"/>
  <c r="AL33" i="4"/>
  <c r="AI33" i="4"/>
  <c r="AF33" i="4"/>
  <c r="AC33" i="4"/>
  <c r="Z33" i="4"/>
  <c r="W33" i="4"/>
  <c r="T33" i="4"/>
  <c r="Q33" i="4"/>
  <c r="N33" i="4"/>
  <c r="K33" i="4"/>
  <c r="H33" i="4"/>
  <c r="E33" i="4"/>
  <c r="AL32" i="4"/>
  <c r="AI32" i="4"/>
  <c r="AF32" i="4"/>
  <c r="AC32" i="4"/>
  <c r="Z32" i="4"/>
  <c r="W32" i="4"/>
  <c r="T32" i="4"/>
  <c r="Q32" i="4"/>
  <c r="N32" i="4"/>
  <c r="K32" i="4"/>
  <c r="H32" i="4"/>
  <c r="E32" i="4"/>
  <c r="AL31" i="4"/>
  <c r="AI31" i="4"/>
  <c r="AF31" i="4"/>
  <c r="AC31" i="4"/>
  <c r="Z31" i="4"/>
  <c r="W31" i="4"/>
  <c r="T31" i="4"/>
  <c r="Q31" i="4"/>
  <c r="N31" i="4"/>
  <c r="K31" i="4"/>
  <c r="H31" i="4"/>
  <c r="E31" i="4"/>
  <c r="AL30" i="4"/>
  <c r="AI30" i="4"/>
  <c r="AF30" i="4"/>
  <c r="AC30" i="4"/>
  <c r="Z30" i="4"/>
  <c r="W30" i="4"/>
  <c r="T30" i="4"/>
  <c r="Q30" i="4"/>
  <c r="N30" i="4"/>
  <c r="K30" i="4"/>
  <c r="H30" i="4"/>
  <c r="E30" i="4"/>
  <c r="AL29" i="4"/>
  <c r="AI29" i="4"/>
  <c r="AF29" i="4"/>
  <c r="AC29" i="4"/>
  <c r="Z29" i="4"/>
  <c r="W29" i="4"/>
  <c r="T29" i="4"/>
  <c r="Q29" i="4"/>
  <c r="N29" i="4"/>
  <c r="K29" i="4"/>
  <c r="H29" i="4"/>
  <c r="E29" i="4"/>
  <c r="AL28" i="4"/>
  <c r="AI28" i="4"/>
  <c r="AF28" i="4"/>
  <c r="AC28" i="4"/>
  <c r="Z28" i="4"/>
  <c r="W28" i="4"/>
  <c r="T28" i="4"/>
  <c r="Q28" i="4"/>
  <c r="N28" i="4"/>
  <c r="K28" i="4"/>
  <c r="H28" i="4"/>
  <c r="E28" i="4"/>
  <c r="AL27" i="4"/>
  <c r="AI27" i="4"/>
  <c r="AF27" i="4"/>
  <c r="AC27" i="4"/>
  <c r="Z27" i="4"/>
  <c r="W27" i="4"/>
  <c r="T27" i="4"/>
  <c r="Q27" i="4"/>
  <c r="N27" i="4"/>
  <c r="K27" i="4"/>
  <c r="H27" i="4"/>
  <c r="E27" i="4"/>
  <c r="AL26" i="4"/>
  <c r="AI26" i="4"/>
  <c r="AF26" i="4"/>
  <c r="AC26" i="4"/>
  <c r="Z26" i="4"/>
  <c r="W26" i="4"/>
  <c r="T26" i="4"/>
  <c r="Q26" i="4"/>
  <c r="N26" i="4"/>
  <c r="K26" i="4"/>
  <c r="H26" i="4"/>
  <c r="E26" i="4"/>
  <c r="AL25" i="4"/>
  <c r="AI25" i="4"/>
  <c r="AF25" i="4"/>
  <c r="AC25" i="4"/>
  <c r="Z25" i="4"/>
  <c r="W25" i="4"/>
  <c r="T25" i="4"/>
  <c r="Q25" i="4"/>
  <c r="N25" i="4"/>
  <c r="K25" i="4"/>
  <c r="H25" i="4"/>
  <c r="E25" i="4"/>
  <c r="AL24" i="4"/>
  <c r="AI24" i="4"/>
  <c r="AF24" i="4"/>
  <c r="AC24" i="4"/>
  <c r="Z24" i="4"/>
  <c r="W24" i="4"/>
  <c r="T24" i="4"/>
  <c r="Q24" i="4"/>
  <c r="N24" i="4"/>
  <c r="K24" i="4"/>
  <c r="H24" i="4"/>
  <c r="E24" i="4"/>
  <c r="AL23" i="4"/>
  <c r="AI23" i="4"/>
  <c r="AF23" i="4"/>
  <c r="AC23" i="4"/>
  <c r="Z23" i="4"/>
  <c r="W23" i="4"/>
  <c r="T23" i="4"/>
  <c r="Q23" i="4"/>
  <c r="N23" i="4"/>
  <c r="K23" i="4"/>
  <c r="H23" i="4"/>
  <c r="E23" i="4"/>
  <c r="AL22" i="4"/>
  <c r="AI22" i="4"/>
  <c r="AF22" i="4"/>
  <c r="AC22" i="4"/>
  <c r="Z22" i="4"/>
  <c r="W22" i="4"/>
  <c r="T22" i="4"/>
  <c r="Q22" i="4"/>
  <c r="N22" i="4"/>
  <c r="K22" i="4"/>
  <c r="H22" i="4"/>
  <c r="E22" i="4"/>
  <c r="AL21" i="4"/>
  <c r="AI21" i="4"/>
  <c r="AF21" i="4"/>
  <c r="AC21" i="4"/>
  <c r="Z21" i="4"/>
  <c r="W21" i="4"/>
  <c r="T21" i="4"/>
  <c r="Q21" i="4"/>
  <c r="N21" i="4"/>
  <c r="K21" i="4"/>
  <c r="H21" i="4"/>
  <c r="E21" i="4"/>
  <c r="AL20" i="4"/>
  <c r="AI20" i="4"/>
  <c r="AF20" i="4"/>
  <c r="AC20" i="4"/>
  <c r="Z20" i="4"/>
  <c r="W20" i="4"/>
  <c r="T20" i="4"/>
  <c r="Q20" i="4"/>
  <c r="N20" i="4"/>
  <c r="K20" i="4"/>
  <c r="H20" i="4"/>
  <c r="E20" i="4"/>
  <c r="AL19" i="4"/>
  <c r="AI19" i="4"/>
  <c r="AF19" i="4"/>
  <c r="AC19" i="4"/>
  <c r="Z19" i="4"/>
  <c r="W19" i="4"/>
  <c r="T19" i="4"/>
  <c r="Q19" i="4"/>
  <c r="N19" i="4"/>
  <c r="K19" i="4"/>
  <c r="H19" i="4"/>
  <c r="E19" i="4"/>
  <c r="AL18" i="4"/>
  <c r="AI18" i="4"/>
  <c r="AF18" i="4"/>
  <c r="AC18" i="4"/>
  <c r="Z18" i="4"/>
  <c r="W18" i="4"/>
  <c r="T18" i="4"/>
  <c r="Q18" i="4"/>
  <c r="N18" i="4"/>
  <c r="K18" i="4"/>
  <c r="H18" i="4"/>
  <c r="E18" i="4"/>
  <c r="AL17" i="4"/>
  <c r="AI17" i="4"/>
  <c r="AF17" i="4"/>
  <c r="AC17" i="4"/>
  <c r="Z17" i="4"/>
  <c r="W17" i="4"/>
  <c r="T17" i="4"/>
  <c r="Q17" i="4"/>
  <c r="N17" i="4"/>
  <c r="K17" i="4"/>
  <c r="H17" i="4"/>
  <c r="E17" i="4"/>
  <c r="AL16" i="4"/>
  <c r="AI16" i="4"/>
  <c r="AF16" i="4"/>
  <c r="AC16" i="4"/>
  <c r="Z16" i="4"/>
  <c r="W16" i="4"/>
  <c r="T16" i="4"/>
  <c r="Q16" i="4"/>
  <c r="N16" i="4"/>
  <c r="K16" i="4"/>
  <c r="H16" i="4"/>
  <c r="E16" i="4"/>
  <c r="AL15" i="4"/>
  <c r="AI15" i="4"/>
  <c r="AF15" i="4"/>
  <c r="AC15" i="4"/>
  <c r="Z15" i="4"/>
  <c r="W15" i="4"/>
  <c r="T15" i="4"/>
  <c r="Q15" i="4"/>
  <c r="N15" i="4"/>
  <c r="K15" i="4"/>
  <c r="H15" i="4"/>
  <c r="E15" i="4"/>
  <c r="AL14" i="4"/>
  <c r="AI14" i="4"/>
  <c r="AF14" i="4"/>
  <c r="AC14" i="4"/>
  <c r="Z14" i="4"/>
  <c r="W14" i="4"/>
  <c r="T14" i="4"/>
  <c r="Q14" i="4"/>
  <c r="N14" i="4"/>
  <c r="K14" i="4"/>
  <c r="H14" i="4"/>
  <c r="E14" i="4"/>
  <c r="AL13" i="4"/>
  <c r="AI13" i="4"/>
  <c r="AF13" i="4"/>
  <c r="AC13" i="4"/>
  <c r="Z13" i="4"/>
  <c r="W13" i="4"/>
  <c r="T13" i="4"/>
  <c r="Q13" i="4"/>
  <c r="N13" i="4"/>
  <c r="K13" i="4"/>
  <c r="H13" i="4"/>
  <c r="E13" i="4"/>
  <c r="AL12" i="4"/>
  <c r="AI12" i="4"/>
  <c r="AF12" i="4"/>
  <c r="AC12" i="4"/>
  <c r="Z12" i="4"/>
  <c r="W12" i="4"/>
  <c r="T12" i="4"/>
  <c r="Q12" i="4"/>
  <c r="N12" i="4"/>
  <c r="K12" i="4"/>
  <c r="H12" i="4"/>
  <c r="E12" i="4"/>
  <c r="AL11" i="4"/>
  <c r="AI11" i="4"/>
  <c r="AF11" i="4"/>
  <c r="AC11" i="4"/>
  <c r="Z11" i="4"/>
  <c r="W11" i="4"/>
  <c r="T11" i="4"/>
  <c r="Q11" i="4"/>
  <c r="N11" i="4"/>
  <c r="K11" i="4"/>
  <c r="H11" i="4"/>
  <c r="E11" i="4"/>
  <c r="AL10" i="4"/>
  <c r="AI10" i="4"/>
  <c r="AF10" i="4"/>
  <c r="AC10" i="4"/>
  <c r="Z10" i="4"/>
  <c r="W10" i="4"/>
  <c r="T10" i="4"/>
  <c r="Q10" i="4"/>
  <c r="N10" i="4"/>
  <c r="K10" i="4"/>
  <c r="H10" i="4"/>
  <c r="E10" i="4"/>
  <c r="AL9" i="4"/>
  <c r="AI9" i="4"/>
  <c r="AF9" i="4"/>
  <c r="AC9" i="4"/>
  <c r="Z9" i="4"/>
  <c r="W9" i="4"/>
  <c r="T9" i="4"/>
  <c r="Q9" i="4"/>
  <c r="N9" i="4"/>
  <c r="K9" i="4"/>
  <c r="H9" i="4"/>
  <c r="E9" i="4"/>
  <c r="AL8" i="4"/>
  <c r="AI8" i="4"/>
  <c r="AF8" i="4"/>
  <c r="AC8" i="4"/>
  <c r="Z8" i="4"/>
  <c r="W8" i="4"/>
  <c r="T8" i="4"/>
  <c r="Q8" i="4"/>
  <c r="N8" i="4"/>
  <c r="K8" i="4"/>
  <c r="H8" i="4"/>
  <c r="E8" i="4"/>
  <c r="AL7" i="4"/>
  <c r="AI7" i="4"/>
  <c r="AF7" i="4"/>
  <c r="AC7" i="4"/>
  <c r="Z7" i="4"/>
  <c r="W7" i="4"/>
  <c r="T7" i="4"/>
  <c r="Q7" i="4"/>
  <c r="N7" i="4"/>
  <c r="K7" i="4"/>
  <c r="H7" i="4"/>
  <c r="E7" i="4"/>
  <c r="AL6" i="4"/>
  <c r="AI6" i="4"/>
  <c r="AF6" i="4"/>
  <c r="AC6" i="4"/>
  <c r="Z6" i="4"/>
  <c r="W6" i="4"/>
  <c r="T6" i="4"/>
  <c r="Q6" i="4"/>
  <c r="N6" i="4"/>
  <c r="K6" i="4"/>
  <c r="H6" i="4"/>
  <c r="E6" i="4"/>
  <c r="I192" i="48" l="1" a="1"/>
  <c r="I192" i="48" s="1"/>
  <c r="G192" i="48" s="1"/>
  <c r="I192" i="43" a="1"/>
  <c r="I192" i="43" s="1"/>
  <c r="I192" i="41" a="1"/>
  <c r="I192" i="41" s="1"/>
  <c r="G192" i="41" s="1"/>
  <c r="G192" i="40"/>
  <c r="I192" i="42" a="1"/>
  <c r="I192" i="42" s="1"/>
  <c r="G192" i="42"/>
  <c r="I192" i="45" a="1"/>
  <c r="I192" i="45" s="1"/>
  <c r="G192" i="45" s="1"/>
  <c r="G192" i="47"/>
  <c r="G192" i="50"/>
  <c r="I192" i="51"/>
  <c r="G192" i="51" s="1"/>
  <c r="O2" i="29"/>
  <c r="F199" i="51"/>
  <c r="F183" i="51"/>
  <c r="F193" i="51" s="1"/>
  <c r="F198" i="51"/>
  <c r="F200" i="51"/>
  <c r="F192" i="50"/>
  <c r="F200" i="50"/>
  <c r="F198" i="50"/>
  <c r="F193" i="50"/>
  <c r="F199" i="50"/>
  <c r="G192" i="49"/>
  <c r="F192" i="49"/>
  <c r="F198" i="49"/>
  <c r="M2" i="29"/>
  <c r="F200" i="49"/>
  <c r="F199" i="49"/>
  <c r="L2" i="29"/>
  <c r="F200" i="48"/>
  <c r="F198" i="48"/>
  <c r="F183" i="48"/>
  <c r="F193" i="48" s="1"/>
  <c r="F199" i="48"/>
  <c r="F192" i="47"/>
  <c r="F199" i="47"/>
  <c r="F200" i="47"/>
  <c r="K2" i="29"/>
  <c r="F183" i="47"/>
  <c r="F193" i="47" s="1"/>
  <c r="F198" i="47"/>
  <c r="K4" i="29"/>
  <c r="I2" i="29"/>
  <c r="F183" i="44"/>
  <c r="F193" i="44" s="1"/>
  <c r="F200" i="44"/>
  <c r="F199" i="44"/>
  <c r="F198" i="44"/>
  <c r="G192" i="43"/>
  <c r="G193" i="43" s="1"/>
  <c r="F201" i="43"/>
  <c r="F194" i="43"/>
  <c r="F198" i="42"/>
  <c r="G3" i="29"/>
  <c r="G2" i="29"/>
  <c r="F200" i="42"/>
  <c r="F199" i="42"/>
  <c r="F183" i="42"/>
  <c r="F193" i="42" s="1"/>
  <c r="B1" i="21"/>
  <c r="F192" i="41"/>
  <c r="F199" i="41"/>
  <c r="F2" i="29"/>
  <c r="F198" i="41"/>
  <c r="F200" i="41"/>
  <c r="F193" i="41"/>
  <c r="B1" i="14"/>
  <c r="B1" i="16"/>
  <c r="B1" i="19"/>
  <c r="B1" i="17"/>
  <c r="B1" i="18"/>
  <c r="F199" i="40"/>
  <c r="F201" i="40" s="1"/>
  <c r="F183" i="40"/>
  <c r="F193" i="40" s="1"/>
  <c r="F194" i="40" s="1"/>
  <c r="E182" i="29" s="1"/>
  <c r="E185" i="29" s="1"/>
  <c r="F200" i="40"/>
  <c r="E2" i="29"/>
  <c r="F198" i="45"/>
  <c r="F183" i="45"/>
  <c r="F193" i="45" s="1"/>
  <c r="F199" i="45"/>
  <c r="F200" i="45"/>
  <c r="J124" i="29"/>
  <c r="F183" i="38"/>
  <c r="F194" i="38" s="1"/>
  <c r="F198" i="38"/>
  <c r="F199" i="38"/>
  <c r="F200" i="38"/>
  <c r="G192" i="38"/>
  <c r="F201" i="50" l="1"/>
  <c r="G193" i="48"/>
  <c r="G1" i="48" s="1"/>
  <c r="F201" i="48"/>
  <c r="F201" i="42"/>
  <c r="F201" i="41"/>
  <c r="F201" i="47"/>
  <c r="F194" i="47"/>
  <c r="K182" i="29" s="1"/>
  <c r="K185" i="29" s="1"/>
  <c r="F193" i="49"/>
  <c r="F194" i="49" s="1"/>
  <c r="G194" i="49" s="1"/>
  <c r="G193" i="51"/>
  <c r="G1" i="51" s="1"/>
  <c r="F194" i="51"/>
  <c r="F201" i="51"/>
  <c r="F194" i="50"/>
  <c r="G193" i="50"/>
  <c r="F201" i="49"/>
  <c r="F194" i="48"/>
  <c r="G193" i="47"/>
  <c r="G1" i="47" s="1"/>
  <c r="G4" i="47" s="1"/>
  <c r="G193" i="45"/>
  <c r="G1" i="45" s="1"/>
  <c r="F201" i="45"/>
  <c r="F194" i="45"/>
  <c r="G194" i="45" s="1"/>
  <c r="F201" i="44"/>
  <c r="F194" i="44"/>
  <c r="G193" i="44"/>
  <c r="G1" i="43"/>
  <c r="H182" i="29"/>
  <c r="H185" i="29" s="1"/>
  <c r="G194" i="43"/>
  <c r="H1" i="43" s="1"/>
  <c r="F194" i="42"/>
  <c r="G193" i="42"/>
  <c r="F194" i="41"/>
  <c r="G193" i="41"/>
  <c r="G194" i="40"/>
  <c r="H1" i="40" s="1"/>
  <c r="G193" i="40"/>
  <c r="F201" i="38"/>
  <c r="G194" i="38"/>
  <c r="H1" i="38" s="1"/>
  <c r="G193" i="38"/>
  <c r="G3" i="38" s="1"/>
  <c r="G193" i="49" l="1"/>
  <c r="G172" i="50"/>
  <c r="G151" i="50"/>
  <c r="G95" i="50"/>
  <c r="G55" i="50"/>
  <c r="G21" i="50"/>
  <c r="G143" i="50"/>
  <c r="G87" i="50"/>
  <c r="G52" i="50"/>
  <c r="G20" i="50"/>
  <c r="G140" i="50"/>
  <c r="G84" i="50"/>
  <c r="G48" i="50"/>
  <c r="G15" i="50"/>
  <c r="G132" i="50"/>
  <c r="G76" i="50"/>
  <c r="G40" i="50"/>
  <c r="G13" i="50"/>
  <c r="G182" i="50"/>
  <c r="G119" i="50"/>
  <c r="G72" i="50"/>
  <c r="G39" i="50"/>
  <c r="G12" i="50"/>
  <c r="G183" i="50"/>
  <c r="G116" i="50"/>
  <c r="G71" i="50"/>
  <c r="G32" i="50"/>
  <c r="G5" i="50"/>
  <c r="G180" i="50"/>
  <c r="G108" i="50"/>
  <c r="G63" i="50"/>
  <c r="G31" i="50"/>
  <c r="G4" i="50"/>
  <c r="G156" i="50"/>
  <c r="G100" i="50"/>
  <c r="G60" i="50"/>
  <c r="G28" i="50"/>
  <c r="G44" i="50"/>
  <c r="G68" i="50"/>
  <c r="G111" i="50"/>
  <c r="G104" i="50"/>
  <c r="G9" i="50"/>
  <c r="G105" i="50"/>
  <c r="G169" i="50"/>
  <c r="G42" i="50"/>
  <c r="G106" i="50"/>
  <c r="G170" i="50"/>
  <c r="G19" i="50"/>
  <c r="G83" i="50"/>
  <c r="G147" i="50"/>
  <c r="G45" i="50"/>
  <c r="G109" i="50"/>
  <c r="G181" i="50"/>
  <c r="G62" i="50"/>
  <c r="G126" i="50"/>
  <c r="G64" i="50"/>
  <c r="G92" i="50"/>
  <c r="G148" i="50"/>
  <c r="G120" i="50"/>
  <c r="G25" i="50"/>
  <c r="G113" i="50"/>
  <c r="G177" i="50"/>
  <c r="G50" i="50"/>
  <c r="G114" i="50"/>
  <c r="G178" i="50"/>
  <c r="G27" i="50"/>
  <c r="G91" i="50"/>
  <c r="G155" i="50"/>
  <c r="G53" i="50"/>
  <c r="G117" i="50"/>
  <c r="G6" i="50"/>
  <c r="G70" i="50"/>
  <c r="G134" i="50"/>
  <c r="G88" i="50"/>
  <c r="G127" i="50"/>
  <c r="G164" i="50"/>
  <c r="G128" i="50"/>
  <c r="G41" i="50"/>
  <c r="G121" i="50"/>
  <c r="G112" i="50"/>
  <c r="G58" i="50"/>
  <c r="G122" i="50"/>
  <c r="G17" i="50"/>
  <c r="G35" i="50"/>
  <c r="G99" i="50"/>
  <c r="G163" i="50"/>
  <c r="G61" i="50"/>
  <c r="G125" i="50"/>
  <c r="G14" i="50"/>
  <c r="G78" i="50"/>
  <c r="G142" i="50"/>
  <c r="G54" i="50"/>
  <c r="G124" i="50"/>
  <c r="G175" i="50"/>
  <c r="G79" i="50"/>
  <c r="G136" i="50"/>
  <c r="G57" i="50"/>
  <c r="G129" i="50"/>
  <c r="G160" i="50"/>
  <c r="G66" i="50"/>
  <c r="G130" i="50"/>
  <c r="G33" i="50"/>
  <c r="G43" i="50"/>
  <c r="G107" i="50"/>
  <c r="G171" i="50"/>
  <c r="G69" i="50"/>
  <c r="G133" i="50"/>
  <c r="G22" i="50"/>
  <c r="G86" i="50"/>
  <c r="G150" i="50"/>
  <c r="G73" i="50"/>
  <c r="G82" i="50"/>
  <c r="G89" i="50"/>
  <c r="G123" i="50"/>
  <c r="G173" i="50"/>
  <c r="G149" i="50"/>
  <c r="G38" i="50"/>
  <c r="G166" i="50"/>
  <c r="G7" i="50"/>
  <c r="G56" i="50"/>
  <c r="G167" i="50"/>
  <c r="G168" i="50"/>
  <c r="G153" i="50"/>
  <c r="G90" i="50"/>
  <c r="G3" i="50"/>
  <c r="G131" i="50"/>
  <c r="G93" i="50"/>
  <c r="G157" i="50"/>
  <c r="G110" i="50"/>
  <c r="G174" i="50"/>
  <c r="G47" i="50"/>
  <c r="G96" i="50"/>
  <c r="G176" i="50"/>
  <c r="G161" i="50"/>
  <c r="G98" i="50"/>
  <c r="G162" i="50"/>
  <c r="G75" i="50"/>
  <c r="G37" i="50"/>
  <c r="G165" i="50"/>
  <c r="G118" i="50"/>
  <c r="G159" i="50"/>
  <c r="G16" i="50"/>
  <c r="G103" i="50"/>
  <c r="G144" i="50"/>
  <c r="G65" i="50"/>
  <c r="G137" i="50"/>
  <c r="G10" i="50"/>
  <c r="G74" i="50"/>
  <c r="G138" i="50"/>
  <c r="G49" i="50"/>
  <c r="G51" i="50"/>
  <c r="G115" i="50"/>
  <c r="G179" i="50"/>
  <c r="G77" i="50"/>
  <c r="G141" i="50"/>
  <c r="G30" i="50"/>
  <c r="G94" i="50"/>
  <c r="G158" i="50"/>
  <c r="G8" i="50"/>
  <c r="G36" i="50"/>
  <c r="G135" i="50"/>
  <c r="G152" i="50"/>
  <c r="G145" i="50"/>
  <c r="G18" i="50"/>
  <c r="G146" i="50"/>
  <c r="G59" i="50"/>
  <c r="G85" i="50"/>
  <c r="G102" i="50"/>
  <c r="G24" i="50"/>
  <c r="G81" i="50"/>
  <c r="G26" i="50"/>
  <c r="G154" i="50"/>
  <c r="G67" i="50"/>
  <c r="G29" i="50"/>
  <c r="G46" i="50"/>
  <c r="G23" i="50"/>
  <c r="G80" i="50"/>
  <c r="G97" i="50"/>
  <c r="G34" i="50"/>
  <c r="G11" i="50"/>
  <c r="G139" i="50"/>
  <c r="G101" i="50"/>
  <c r="G10" i="48"/>
  <c r="G18" i="48"/>
  <c r="G26" i="48"/>
  <c r="G34" i="48"/>
  <c r="G42" i="48"/>
  <c r="G50" i="48"/>
  <c r="G58" i="48"/>
  <c r="G66" i="48"/>
  <c r="G74" i="48"/>
  <c r="G82" i="48"/>
  <c r="G90" i="48"/>
  <c r="G98" i="48"/>
  <c r="G106" i="48"/>
  <c r="G114" i="48"/>
  <c r="G122" i="48"/>
  <c r="G130" i="48"/>
  <c r="G138" i="48"/>
  <c r="G146" i="48"/>
  <c r="G154" i="48"/>
  <c r="G162" i="48"/>
  <c r="G170" i="48"/>
  <c r="G178" i="48"/>
  <c r="G11" i="48"/>
  <c r="G19" i="48"/>
  <c r="G27" i="48"/>
  <c r="G35" i="48"/>
  <c r="G43" i="48"/>
  <c r="G51" i="48"/>
  <c r="G59" i="48"/>
  <c r="G67" i="48"/>
  <c r="G75" i="48"/>
  <c r="G83" i="48"/>
  <c r="G91" i="48"/>
  <c r="G99" i="48"/>
  <c r="G107" i="48"/>
  <c r="G115" i="48"/>
  <c r="G123" i="48"/>
  <c r="G131" i="48"/>
  <c r="G139" i="48"/>
  <c r="G147" i="48"/>
  <c r="G155" i="48"/>
  <c r="G163" i="48"/>
  <c r="G171" i="48"/>
  <c r="G179" i="48"/>
  <c r="G4" i="48"/>
  <c r="G12" i="48"/>
  <c r="G20" i="48"/>
  <c r="G28" i="48"/>
  <c r="G36" i="48"/>
  <c r="G44" i="48"/>
  <c r="G52" i="48"/>
  <c r="G60" i="48"/>
  <c r="G68" i="48"/>
  <c r="G76" i="48"/>
  <c r="G84" i="48"/>
  <c r="G92" i="48"/>
  <c r="G100" i="48"/>
  <c r="G108" i="48"/>
  <c r="G116" i="48"/>
  <c r="G124" i="48"/>
  <c r="G132" i="48"/>
  <c r="G140" i="48"/>
  <c r="G148" i="48"/>
  <c r="G156" i="48"/>
  <c r="G164" i="48"/>
  <c r="G172" i="48"/>
  <c r="G180" i="48"/>
  <c r="G5" i="48"/>
  <c r="G13" i="48"/>
  <c r="G21" i="48"/>
  <c r="G29" i="48"/>
  <c r="G37" i="48"/>
  <c r="G45" i="48"/>
  <c r="G53" i="48"/>
  <c r="G61" i="48"/>
  <c r="G69" i="48"/>
  <c r="G77" i="48"/>
  <c r="G85" i="48"/>
  <c r="G93" i="48"/>
  <c r="G101" i="48"/>
  <c r="G109" i="48"/>
  <c r="G117" i="48"/>
  <c r="G125" i="48"/>
  <c r="G133" i="48"/>
  <c r="G141" i="48"/>
  <c r="G149" i="48"/>
  <c r="G157" i="48"/>
  <c r="G165" i="48"/>
  <c r="G173" i="48"/>
  <c r="G181" i="48"/>
  <c r="G6" i="48"/>
  <c r="G14" i="48"/>
  <c r="G22" i="48"/>
  <c r="G30" i="48"/>
  <c r="G38" i="48"/>
  <c r="G46" i="48"/>
  <c r="G54" i="48"/>
  <c r="G62" i="48"/>
  <c r="G70" i="48"/>
  <c r="G78" i="48"/>
  <c r="G86" i="48"/>
  <c r="G94" i="48"/>
  <c r="G102" i="48"/>
  <c r="G110" i="48"/>
  <c r="G118" i="48"/>
  <c r="G126" i="48"/>
  <c r="G134" i="48"/>
  <c r="G142" i="48"/>
  <c r="G150" i="48"/>
  <c r="G158" i="48"/>
  <c r="G166" i="48"/>
  <c r="G174" i="48"/>
  <c r="G182" i="48"/>
  <c r="G25" i="48"/>
  <c r="G49" i="48"/>
  <c r="G73" i="48"/>
  <c r="G97" i="48"/>
  <c r="G129" i="48"/>
  <c r="G161" i="48"/>
  <c r="G7" i="48"/>
  <c r="G15" i="48"/>
  <c r="G23" i="48"/>
  <c r="G31" i="48"/>
  <c r="G39" i="48"/>
  <c r="G47" i="48"/>
  <c r="G55" i="48"/>
  <c r="G63" i="48"/>
  <c r="G71" i="48"/>
  <c r="G79" i="48"/>
  <c r="G87" i="48"/>
  <c r="G95" i="48"/>
  <c r="G103" i="48"/>
  <c r="G111" i="48"/>
  <c r="G119" i="48"/>
  <c r="G127" i="48"/>
  <c r="G135" i="48"/>
  <c r="G143" i="48"/>
  <c r="G151" i="48"/>
  <c r="G159" i="48"/>
  <c r="G167" i="48"/>
  <c r="G175" i="48"/>
  <c r="G183" i="48"/>
  <c r="G17" i="48"/>
  <c r="G33" i="48"/>
  <c r="G57" i="48"/>
  <c r="G81" i="48"/>
  <c r="G105" i="48"/>
  <c r="G121" i="48"/>
  <c r="G145" i="48"/>
  <c r="G169" i="48"/>
  <c r="G8" i="48"/>
  <c r="G24" i="48"/>
  <c r="G32" i="48"/>
  <c r="G40" i="48"/>
  <c r="G48" i="48"/>
  <c r="G56" i="48"/>
  <c r="G64" i="48"/>
  <c r="G72" i="48"/>
  <c r="G80" i="48"/>
  <c r="G88" i="48"/>
  <c r="G96" i="48"/>
  <c r="G104" i="48"/>
  <c r="G112" i="48"/>
  <c r="G120" i="48"/>
  <c r="G128" i="48"/>
  <c r="G136" i="48"/>
  <c r="G144" i="48"/>
  <c r="G152" i="48"/>
  <c r="G160" i="48"/>
  <c r="G168" i="48"/>
  <c r="G176" i="48"/>
  <c r="G3" i="48"/>
  <c r="G9" i="48"/>
  <c r="G41" i="48"/>
  <c r="G65" i="48"/>
  <c r="G89" i="48"/>
  <c r="G113" i="48"/>
  <c r="G137" i="48"/>
  <c r="G153" i="48"/>
  <c r="G177" i="48"/>
  <c r="G194" i="47"/>
  <c r="G7" i="45"/>
  <c r="G15" i="45"/>
  <c r="G23" i="45"/>
  <c r="G31" i="45"/>
  <c r="G39" i="45"/>
  <c r="G47" i="45"/>
  <c r="G55" i="45"/>
  <c r="G63" i="45"/>
  <c r="G71" i="45"/>
  <c r="G79" i="45"/>
  <c r="G87" i="45"/>
  <c r="G95" i="45"/>
  <c r="G103" i="45"/>
  <c r="G111" i="45"/>
  <c r="G119" i="45"/>
  <c r="G127" i="45"/>
  <c r="G135" i="45"/>
  <c r="G143" i="45"/>
  <c r="G151" i="45"/>
  <c r="G159" i="45"/>
  <c r="G167" i="45"/>
  <c r="G175" i="45"/>
  <c r="G8" i="45"/>
  <c r="G16" i="45"/>
  <c r="G24" i="45"/>
  <c r="G40" i="45"/>
  <c r="G48" i="45"/>
  <c r="G56" i="45"/>
  <c r="G64" i="45"/>
  <c r="G72" i="45"/>
  <c r="G80" i="45"/>
  <c r="G88" i="45"/>
  <c r="G104" i="45"/>
  <c r="G112" i="45"/>
  <c r="G120" i="45"/>
  <c r="G128" i="45"/>
  <c r="G144" i="45"/>
  <c r="G152" i="45"/>
  <c r="G160" i="45"/>
  <c r="G176" i="45"/>
  <c r="G98" i="45"/>
  <c r="G138" i="45"/>
  <c r="G154" i="45"/>
  <c r="G178" i="45"/>
  <c r="G12" i="45"/>
  <c r="G60" i="45"/>
  <c r="G92" i="45"/>
  <c r="G108" i="45"/>
  <c r="G132" i="45"/>
  <c r="G156" i="45"/>
  <c r="G22" i="45"/>
  <c r="G46" i="45"/>
  <c r="G70" i="45"/>
  <c r="G102" i="45"/>
  <c r="G126" i="45"/>
  <c r="G158" i="45"/>
  <c r="G182" i="45"/>
  <c r="G32" i="45"/>
  <c r="G96" i="45"/>
  <c r="G136" i="45"/>
  <c r="G168" i="45"/>
  <c r="G114" i="45"/>
  <c r="G170" i="45"/>
  <c r="G20" i="45"/>
  <c r="G52" i="45"/>
  <c r="G84" i="45"/>
  <c r="G116" i="45"/>
  <c r="G140" i="45"/>
  <c r="G164" i="45"/>
  <c r="G5" i="45"/>
  <c r="G21" i="45"/>
  <c r="G37" i="45"/>
  <c r="G53" i="45"/>
  <c r="G61" i="45"/>
  <c r="G77" i="45"/>
  <c r="G85" i="45"/>
  <c r="G101" i="45"/>
  <c r="G9" i="45"/>
  <c r="G17" i="45"/>
  <c r="G25" i="45"/>
  <c r="G33" i="45"/>
  <c r="G41" i="45"/>
  <c r="G49" i="45"/>
  <c r="G57" i="45"/>
  <c r="G65" i="45"/>
  <c r="G73" i="45"/>
  <c r="G81" i="45"/>
  <c r="G89" i="45"/>
  <c r="G97" i="45"/>
  <c r="G105" i="45"/>
  <c r="G113" i="45"/>
  <c r="G121" i="45"/>
  <c r="G129" i="45"/>
  <c r="G137" i="45"/>
  <c r="G145" i="45"/>
  <c r="G153" i="45"/>
  <c r="G161" i="45"/>
  <c r="G169" i="45"/>
  <c r="G177" i="45"/>
  <c r="G10" i="45"/>
  <c r="G18" i="45"/>
  <c r="G26" i="45"/>
  <c r="G34" i="45"/>
  <c r="G42" i="45"/>
  <c r="G50" i="45"/>
  <c r="G58" i="45"/>
  <c r="G66" i="45"/>
  <c r="G74" i="45"/>
  <c r="G82" i="45"/>
  <c r="G90" i="45"/>
  <c r="G106" i="45"/>
  <c r="G122" i="45"/>
  <c r="G130" i="45"/>
  <c r="G146" i="45"/>
  <c r="G162" i="45"/>
  <c r="G28" i="45"/>
  <c r="G36" i="45"/>
  <c r="G44" i="45"/>
  <c r="G68" i="45"/>
  <c r="G76" i="45"/>
  <c r="G100" i="45"/>
  <c r="G124" i="45"/>
  <c r="G148" i="45"/>
  <c r="G172" i="45"/>
  <c r="G180" i="45"/>
  <c r="G13" i="45"/>
  <c r="G29" i="45"/>
  <c r="G45" i="45"/>
  <c r="G69" i="45"/>
  <c r="G93" i="45"/>
  <c r="G109" i="45"/>
  <c r="G117" i="45"/>
  <c r="G125" i="45"/>
  <c r="G133" i="45"/>
  <c r="G141" i="45"/>
  <c r="G149" i="45"/>
  <c r="G157" i="45"/>
  <c r="G165" i="45"/>
  <c r="G173" i="45"/>
  <c r="G181" i="45"/>
  <c r="G30" i="45"/>
  <c r="G38" i="45"/>
  <c r="G62" i="45"/>
  <c r="G78" i="45"/>
  <c r="G110" i="45"/>
  <c r="G142" i="45"/>
  <c r="G174" i="45"/>
  <c r="G3" i="45"/>
  <c r="G11" i="45"/>
  <c r="G19" i="45"/>
  <c r="G27" i="45"/>
  <c r="G35" i="45"/>
  <c r="G43" i="45"/>
  <c r="G51" i="45"/>
  <c r="G59" i="45"/>
  <c r="G67" i="45"/>
  <c r="G75" i="45"/>
  <c r="G83" i="45"/>
  <c r="G91" i="45"/>
  <c r="G99" i="45"/>
  <c r="G107" i="45"/>
  <c r="G115" i="45"/>
  <c r="G123" i="45"/>
  <c r="G131" i="45"/>
  <c r="G139" i="45"/>
  <c r="G147" i="45"/>
  <c r="G155" i="45"/>
  <c r="G163" i="45"/>
  <c r="G171" i="45"/>
  <c r="G179" i="45"/>
  <c r="G4" i="45"/>
  <c r="G14" i="45"/>
  <c r="G54" i="45"/>
  <c r="G86" i="45"/>
  <c r="G118" i="45"/>
  <c r="G134" i="45"/>
  <c r="G166" i="45"/>
  <c r="G6" i="45"/>
  <c r="G94" i="45"/>
  <c r="G150" i="45"/>
  <c r="H151" i="38"/>
  <c r="H4" i="38"/>
  <c r="H3" i="38"/>
  <c r="G171" i="38"/>
  <c r="G4" i="38"/>
  <c r="G1" i="49"/>
  <c r="O182" i="29"/>
  <c r="G194" i="51"/>
  <c r="N182" i="29"/>
  <c r="G194" i="50"/>
  <c r="H1" i="49"/>
  <c r="H180" i="49" s="1"/>
  <c r="M182" i="29"/>
  <c r="L182" i="29"/>
  <c r="L185" i="29" s="1"/>
  <c r="G194" i="48"/>
  <c r="H1" i="48" s="1"/>
  <c r="J182" i="29"/>
  <c r="J185" i="29" s="1"/>
  <c r="G183" i="45"/>
  <c r="G1" i="44"/>
  <c r="G194" i="44"/>
  <c r="H1" i="44" s="1"/>
  <c r="H182" i="44" s="1"/>
  <c r="I182" i="29"/>
  <c r="I185" i="29" s="1"/>
  <c r="G195" i="43"/>
  <c r="H168" i="43"/>
  <c r="H152" i="43"/>
  <c r="H136" i="43"/>
  <c r="H120" i="43"/>
  <c r="H104" i="43"/>
  <c r="H88" i="43"/>
  <c r="H72" i="43"/>
  <c r="H56" i="43"/>
  <c r="H40" i="43"/>
  <c r="H24" i="43"/>
  <c r="H175" i="43"/>
  <c r="H173" i="43"/>
  <c r="H166" i="43"/>
  <c r="H159" i="43"/>
  <c r="H157" i="43"/>
  <c r="H150" i="43"/>
  <c r="H143" i="43"/>
  <c r="H141" i="43"/>
  <c r="H134" i="43"/>
  <c r="H127" i="43"/>
  <c r="H125" i="43"/>
  <c r="H118" i="43"/>
  <c r="H111" i="43"/>
  <c r="H109" i="43"/>
  <c r="H102" i="43"/>
  <c r="H95" i="43"/>
  <c r="H93" i="43"/>
  <c r="H86" i="43"/>
  <c r="H79" i="43"/>
  <c r="H77" i="43"/>
  <c r="H70" i="43"/>
  <c r="H63" i="43"/>
  <c r="H61" i="43"/>
  <c r="H54" i="43"/>
  <c r="H47" i="43"/>
  <c r="H45" i="43"/>
  <c r="H38" i="43"/>
  <c r="H31" i="43"/>
  <c r="H29" i="43"/>
  <c r="H22" i="43"/>
  <c r="H181" i="43"/>
  <c r="H172" i="43"/>
  <c r="H156" i="43"/>
  <c r="H140" i="43"/>
  <c r="H124" i="43"/>
  <c r="H108" i="43"/>
  <c r="H92" i="43"/>
  <c r="H76" i="43"/>
  <c r="H60" i="43"/>
  <c r="H44" i="43"/>
  <c r="H28" i="43"/>
  <c r="H162" i="43"/>
  <c r="H154" i="43"/>
  <c r="H149" i="43"/>
  <c r="H144" i="43"/>
  <c r="H126" i="43"/>
  <c r="H182" i="43"/>
  <c r="H177" i="43"/>
  <c r="H169" i="43"/>
  <c r="H167" i="43"/>
  <c r="H164" i="43"/>
  <c r="H131" i="43"/>
  <c r="H123" i="43"/>
  <c r="H113" i="43"/>
  <c r="H105" i="43"/>
  <c r="H103" i="43"/>
  <c r="H100" i="43"/>
  <c r="H67" i="43"/>
  <c r="H59" i="43"/>
  <c r="H49" i="43"/>
  <c r="H41" i="43"/>
  <c r="H39" i="43"/>
  <c r="H36" i="43"/>
  <c r="H11" i="43"/>
  <c r="H9" i="43"/>
  <c r="H135" i="43"/>
  <c r="H91" i="43"/>
  <c r="H174" i="43"/>
  <c r="H146" i="43"/>
  <c r="H138" i="43"/>
  <c r="H133" i="43"/>
  <c r="H128" i="43"/>
  <c r="H110" i="43"/>
  <c r="H82" i="43"/>
  <c r="H74" i="43"/>
  <c r="H69" i="43"/>
  <c r="H64" i="43"/>
  <c r="H46" i="43"/>
  <c r="H18" i="43"/>
  <c r="H16" i="43"/>
  <c r="H81" i="43"/>
  <c r="H179" i="43"/>
  <c r="H171" i="43"/>
  <c r="H161" i="43"/>
  <c r="H153" i="43"/>
  <c r="H151" i="43"/>
  <c r="H148" i="43"/>
  <c r="H115" i="43"/>
  <c r="H107" i="43"/>
  <c r="H97" i="43"/>
  <c r="H89" i="43"/>
  <c r="H87" i="43"/>
  <c r="H84" i="43"/>
  <c r="H51" i="43"/>
  <c r="H43" i="43"/>
  <c r="H33" i="43"/>
  <c r="H25" i="43"/>
  <c r="H23" i="43"/>
  <c r="H20" i="43"/>
  <c r="H14" i="43"/>
  <c r="H7" i="43"/>
  <c r="H5" i="43"/>
  <c r="H155" i="43"/>
  <c r="H145" i="43"/>
  <c r="H137" i="43"/>
  <c r="H99" i="43"/>
  <c r="H71" i="43"/>
  <c r="H176" i="43"/>
  <c r="H158" i="43"/>
  <c r="H130" i="43"/>
  <c r="H122" i="43"/>
  <c r="H117" i="43"/>
  <c r="H112" i="43"/>
  <c r="H94" i="43"/>
  <c r="H66" i="43"/>
  <c r="H58" i="43"/>
  <c r="H53" i="43"/>
  <c r="H48" i="43"/>
  <c r="H30" i="43"/>
  <c r="H12" i="43"/>
  <c r="H3" i="43"/>
  <c r="H163" i="43"/>
  <c r="H132" i="43"/>
  <c r="H73" i="43"/>
  <c r="H68" i="43"/>
  <c r="H35" i="43"/>
  <c r="H178" i="43"/>
  <c r="H106" i="43"/>
  <c r="H65" i="43"/>
  <c r="H42" i="43"/>
  <c r="H17" i="43"/>
  <c r="H101" i="43"/>
  <c r="H83" i="43"/>
  <c r="H78" i="43"/>
  <c r="H37" i="43"/>
  <c r="H21" i="43"/>
  <c r="H8" i="43"/>
  <c r="H160" i="43"/>
  <c r="H139" i="43"/>
  <c r="H119" i="43"/>
  <c r="H10" i="43"/>
  <c r="H147" i="43"/>
  <c r="H121" i="43"/>
  <c r="H116" i="43"/>
  <c r="H98" i="43"/>
  <c r="H75" i="43"/>
  <c r="H52" i="43"/>
  <c r="H96" i="43"/>
  <c r="H32" i="43"/>
  <c r="H165" i="43"/>
  <c r="H129" i="43"/>
  <c r="H114" i="43"/>
  <c r="H55" i="43"/>
  <c r="H50" i="43"/>
  <c r="H27" i="43"/>
  <c r="H13" i="43"/>
  <c r="H170" i="43"/>
  <c r="H180" i="43"/>
  <c r="H90" i="43"/>
  <c r="H62" i="43"/>
  <c r="H19" i="43"/>
  <c r="H4" i="43"/>
  <c r="H142" i="43"/>
  <c r="H85" i="43"/>
  <c r="H80" i="43"/>
  <c r="H57" i="43"/>
  <c r="H26" i="43"/>
  <c r="H15" i="43"/>
  <c r="H34" i="43"/>
  <c r="H6" i="43"/>
  <c r="G179" i="43"/>
  <c r="G177" i="43"/>
  <c r="G170" i="43"/>
  <c r="I170" i="43" s="1"/>
  <c r="L170" i="43" s="1"/>
  <c r="P173" i="4" s="1"/>
  <c r="G163" i="43"/>
  <c r="G161" i="43"/>
  <c r="G154" i="43"/>
  <c r="G147" i="43"/>
  <c r="G145" i="43"/>
  <c r="G138" i="43"/>
  <c r="G131" i="43"/>
  <c r="I131" i="43" s="1"/>
  <c r="L131" i="43" s="1"/>
  <c r="P134" i="4" s="1"/>
  <c r="G129" i="43"/>
  <c r="G122" i="43"/>
  <c r="G115" i="43"/>
  <c r="G113" i="43"/>
  <c r="G106" i="43"/>
  <c r="G99" i="43"/>
  <c r="I99" i="43" s="1"/>
  <c r="L99" i="43" s="1"/>
  <c r="P102" i="4" s="1"/>
  <c r="G97" i="43"/>
  <c r="G90" i="43"/>
  <c r="G83" i="43"/>
  <c r="I83" i="43" s="1"/>
  <c r="L83" i="43" s="1"/>
  <c r="P86" i="4" s="1"/>
  <c r="G81" i="43"/>
  <c r="G74" i="43"/>
  <c r="G67" i="43"/>
  <c r="G65" i="43"/>
  <c r="I65" i="43" s="1"/>
  <c r="L65" i="43" s="1"/>
  <c r="P68" i="4" s="1"/>
  <c r="G58" i="43"/>
  <c r="G51" i="43"/>
  <c r="G49" i="43"/>
  <c r="I49" i="43" s="1"/>
  <c r="L49" i="43" s="1"/>
  <c r="P52" i="4" s="1"/>
  <c r="G42" i="43"/>
  <c r="G35" i="43"/>
  <c r="I35" i="43" s="1"/>
  <c r="L35" i="43" s="1"/>
  <c r="P38" i="4" s="1"/>
  <c r="G33" i="43"/>
  <c r="G26" i="43"/>
  <c r="G19" i="43"/>
  <c r="I19" i="43" s="1"/>
  <c r="L19" i="43" s="1"/>
  <c r="P22" i="4" s="1"/>
  <c r="G168" i="43"/>
  <c r="G152" i="43"/>
  <c r="G136" i="43"/>
  <c r="G120" i="43"/>
  <c r="G104" i="43"/>
  <c r="G88" i="43"/>
  <c r="G72" i="43"/>
  <c r="G56" i="43"/>
  <c r="G40" i="43"/>
  <c r="G24" i="43"/>
  <c r="G183" i="43"/>
  <c r="G174" i="43"/>
  <c r="G167" i="43"/>
  <c r="G165" i="43"/>
  <c r="G158" i="43"/>
  <c r="G151" i="43"/>
  <c r="G149" i="43"/>
  <c r="G142" i="43"/>
  <c r="G135" i="43"/>
  <c r="G133" i="43"/>
  <c r="G126" i="43"/>
  <c r="I126" i="43" s="1"/>
  <c r="L126" i="43" s="1"/>
  <c r="P129" i="4" s="1"/>
  <c r="G119" i="43"/>
  <c r="G117" i="43"/>
  <c r="I117" i="43" s="1"/>
  <c r="L117" i="43" s="1"/>
  <c r="P120" i="4" s="1"/>
  <c r="G110" i="43"/>
  <c r="I110" i="43" s="1"/>
  <c r="L110" i="43" s="1"/>
  <c r="P113" i="4" s="1"/>
  <c r="G103" i="43"/>
  <c r="G101" i="43"/>
  <c r="G94" i="43"/>
  <c r="G87" i="43"/>
  <c r="G85" i="43"/>
  <c r="G78" i="43"/>
  <c r="G71" i="43"/>
  <c r="G69" i="43"/>
  <c r="G62" i="43"/>
  <c r="G55" i="43"/>
  <c r="G53" i="43"/>
  <c r="G46" i="43"/>
  <c r="G39" i="43"/>
  <c r="I39" i="43" s="1"/>
  <c r="L39" i="43" s="1"/>
  <c r="P42" i="4" s="1"/>
  <c r="G37" i="43"/>
  <c r="I37" i="43" s="1"/>
  <c r="L37" i="43" s="1"/>
  <c r="P40" i="4" s="1"/>
  <c r="G30" i="43"/>
  <c r="G23" i="43"/>
  <c r="G21" i="43"/>
  <c r="G180" i="43"/>
  <c r="G172" i="43"/>
  <c r="I172" i="43" s="1"/>
  <c r="L172" i="43" s="1"/>
  <c r="P175" i="4" s="1"/>
  <c r="G141" i="43"/>
  <c r="G139" i="43"/>
  <c r="G121" i="43"/>
  <c r="I121" i="43" s="1"/>
  <c r="L121" i="43" s="1"/>
  <c r="P124" i="4" s="1"/>
  <c r="G162" i="43"/>
  <c r="G159" i="43"/>
  <c r="G144" i="43"/>
  <c r="G118" i="43"/>
  <c r="G98" i="43"/>
  <c r="G95" i="43"/>
  <c r="G80" i="43"/>
  <c r="G54" i="43"/>
  <c r="G34" i="43"/>
  <c r="G31" i="43"/>
  <c r="G4" i="43"/>
  <c r="I4" i="43" s="1"/>
  <c r="L4" i="43" s="1"/>
  <c r="P7" i="4" s="1"/>
  <c r="G66" i="43"/>
  <c r="I66" i="43" s="1"/>
  <c r="L66" i="43" s="1"/>
  <c r="P69" i="4" s="1"/>
  <c r="G48" i="43"/>
  <c r="G182" i="43"/>
  <c r="G169" i="43"/>
  <c r="G164" i="43"/>
  <c r="G156" i="43"/>
  <c r="G125" i="43"/>
  <c r="G123" i="43"/>
  <c r="G105" i="43"/>
  <c r="G100" i="43"/>
  <c r="G92" i="43"/>
  <c r="I92" i="43" s="1"/>
  <c r="L92" i="43" s="1"/>
  <c r="P95" i="4" s="1"/>
  <c r="G61" i="43"/>
  <c r="G59" i="43"/>
  <c r="G41" i="43"/>
  <c r="G36" i="43"/>
  <c r="G28" i="43"/>
  <c r="G11" i="43"/>
  <c r="G9" i="43"/>
  <c r="G150" i="43"/>
  <c r="G130" i="43"/>
  <c r="I130" i="43" s="1"/>
  <c r="L130" i="43" s="1"/>
  <c r="P133" i="4" s="1"/>
  <c r="G63" i="43"/>
  <c r="G166" i="43"/>
  <c r="G146" i="43"/>
  <c r="G143" i="43"/>
  <c r="G128" i="43"/>
  <c r="G102" i="43"/>
  <c r="G82" i="43"/>
  <c r="G79" i="43"/>
  <c r="G64" i="43"/>
  <c r="G38" i="43"/>
  <c r="G18" i="43"/>
  <c r="G16" i="43"/>
  <c r="G173" i="43"/>
  <c r="G171" i="43"/>
  <c r="G153" i="43"/>
  <c r="I153" i="43" s="1"/>
  <c r="L153" i="43" s="1"/>
  <c r="P156" i="4" s="1"/>
  <c r="G148" i="43"/>
  <c r="G140" i="43"/>
  <c r="G109" i="43"/>
  <c r="G107" i="43"/>
  <c r="I107" i="43" s="1"/>
  <c r="L107" i="43" s="1"/>
  <c r="P110" i="4" s="1"/>
  <c r="G89" i="43"/>
  <c r="G84" i="43"/>
  <c r="G76" i="43"/>
  <c r="G45" i="43"/>
  <c r="G43" i="43"/>
  <c r="G25" i="43"/>
  <c r="G20" i="43"/>
  <c r="G14" i="43"/>
  <c r="G7" i="43"/>
  <c r="G5" i="43"/>
  <c r="G181" i="43"/>
  <c r="G176" i="43"/>
  <c r="G127" i="43"/>
  <c r="G112" i="43"/>
  <c r="G86" i="43"/>
  <c r="G157" i="43"/>
  <c r="G116" i="43"/>
  <c r="G111" i="43"/>
  <c r="G75" i="43"/>
  <c r="G70" i="43"/>
  <c r="G60" i="43"/>
  <c r="G52" i="43"/>
  <c r="G47" i="43"/>
  <c r="G6" i="43"/>
  <c r="G77" i="43"/>
  <c r="G178" i="43"/>
  <c r="G17" i="43"/>
  <c r="G134" i="43"/>
  <c r="G96" i="43"/>
  <c r="G68" i="43"/>
  <c r="G32" i="43"/>
  <c r="G29" i="43"/>
  <c r="G15" i="43"/>
  <c r="G124" i="43"/>
  <c r="I124" i="43" s="1"/>
  <c r="L124" i="43" s="1"/>
  <c r="P127" i="4" s="1"/>
  <c r="G8" i="43"/>
  <c r="G91" i="43"/>
  <c r="G73" i="43"/>
  <c r="G160" i="43"/>
  <c r="G155" i="43"/>
  <c r="G114" i="43"/>
  <c r="I114" i="43" s="1"/>
  <c r="L114" i="43" s="1"/>
  <c r="P117" i="4" s="1"/>
  <c r="G50" i="43"/>
  <c r="I50" i="43" s="1"/>
  <c r="L50" i="43" s="1"/>
  <c r="P53" i="4" s="1"/>
  <c r="G27" i="43"/>
  <c r="I27" i="43" s="1"/>
  <c r="L27" i="43" s="1"/>
  <c r="P30" i="4" s="1"/>
  <c r="G13" i="43"/>
  <c r="I13" i="43" s="1"/>
  <c r="L13" i="43" s="1"/>
  <c r="P16" i="4" s="1"/>
  <c r="G10" i="43"/>
  <c r="I10" i="43" s="1"/>
  <c r="L10" i="43" s="1"/>
  <c r="P13" i="4" s="1"/>
  <c r="G175" i="43"/>
  <c r="G108" i="43"/>
  <c r="G44" i="43"/>
  <c r="I44" i="43" s="1"/>
  <c r="L44" i="43" s="1"/>
  <c r="P47" i="4" s="1"/>
  <c r="G137" i="43"/>
  <c r="I137" i="43" s="1"/>
  <c r="L137" i="43" s="1"/>
  <c r="P140" i="4" s="1"/>
  <c r="G132" i="43"/>
  <c r="G22" i="43"/>
  <c r="G12" i="43"/>
  <c r="I12" i="43" s="1"/>
  <c r="L12" i="43" s="1"/>
  <c r="P15" i="4" s="1"/>
  <c r="G3" i="43"/>
  <c r="G93" i="43"/>
  <c r="G57" i="43"/>
  <c r="I1" i="43"/>
  <c r="I184" i="43" s="1"/>
  <c r="G182" i="29"/>
  <c r="G185" i="29" s="1"/>
  <c r="G194" i="42"/>
  <c r="H1" i="42" s="1"/>
  <c r="H3" i="42" s="1"/>
  <c r="G1" i="42"/>
  <c r="G3" i="42" s="1"/>
  <c r="G1" i="41"/>
  <c r="G194" i="41"/>
  <c r="H1" i="41" s="1"/>
  <c r="H181" i="41" s="1"/>
  <c r="F182" i="29"/>
  <c r="F185" i="29" s="1"/>
  <c r="G195" i="40"/>
  <c r="G1" i="40"/>
  <c r="G3" i="40" s="1"/>
  <c r="H182" i="40"/>
  <c r="H178" i="40"/>
  <c r="H174" i="40"/>
  <c r="H170" i="40"/>
  <c r="H166" i="40"/>
  <c r="H162" i="40"/>
  <c r="H158" i="40"/>
  <c r="H154" i="40"/>
  <c r="H150" i="40"/>
  <c r="H146" i="40"/>
  <c r="H142" i="40"/>
  <c r="H138" i="40"/>
  <c r="H134" i="40"/>
  <c r="H130" i="40"/>
  <c r="H126" i="40"/>
  <c r="H122" i="40"/>
  <c r="H118" i="40"/>
  <c r="H114" i="40"/>
  <c r="H110" i="40"/>
  <c r="H106" i="40"/>
  <c r="H102" i="40"/>
  <c r="H98" i="40"/>
  <c r="H94" i="40"/>
  <c r="H90" i="40"/>
  <c r="H86" i="40"/>
  <c r="H82" i="40"/>
  <c r="H78" i="40"/>
  <c r="H74" i="40"/>
  <c r="H70" i="40"/>
  <c r="H66" i="40"/>
  <c r="H62" i="40"/>
  <c r="H58" i="40"/>
  <c r="H54" i="40"/>
  <c r="H50" i="40"/>
  <c r="H46" i="40"/>
  <c r="H42" i="40"/>
  <c r="H38" i="40"/>
  <c r="H34" i="40"/>
  <c r="H30" i="40"/>
  <c r="H26" i="40"/>
  <c r="H22" i="40"/>
  <c r="H18" i="40"/>
  <c r="H14" i="40"/>
  <c r="H10" i="40"/>
  <c r="H6" i="40"/>
  <c r="H179" i="40"/>
  <c r="H175" i="40"/>
  <c r="H171" i="40"/>
  <c r="H167" i="40"/>
  <c r="H163" i="40"/>
  <c r="H159" i="40"/>
  <c r="H155" i="40"/>
  <c r="H151" i="40"/>
  <c r="H147" i="40"/>
  <c r="H143" i="40"/>
  <c r="H139" i="40"/>
  <c r="H135" i="40"/>
  <c r="H131" i="40"/>
  <c r="H127" i="40"/>
  <c r="H123" i="40"/>
  <c r="H119" i="40"/>
  <c r="H115" i="40"/>
  <c r="H111" i="40"/>
  <c r="H107" i="40"/>
  <c r="H103" i="40"/>
  <c r="H99" i="40"/>
  <c r="H95" i="40"/>
  <c r="H91" i="40"/>
  <c r="H87" i="40"/>
  <c r="H83" i="40"/>
  <c r="H79" i="40"/>
  <c r="H75" i="40"/>
  <c r="H71" i="40"/>
  <c r="H67" i="40"/>
  <c r="H63" i="40"/>
  <c r="H59" i="40"/>
  <c r="H55" i="40"/>
  <c r="H51" i="40"/>
  <c r="H47" i="40"/>
  <c r="H43" i="40"/>
  <c r="H39" i="40"/>
  <c r="H35" i="40"/>
  <c r="H31" i="40"/>
  <c r="H27" i="40"/>
  <c r="H23" i="40"/>
  <c r="H19" i="40"/>
  <c r="H15" i="40"/>
  <c r="H11" i="40"/>
  <c r="H7" i="40"/>
  <c r="H180" i="40"/>
  <c r="H176" i="40"/>
  <c r="H172" i="40"/>
  <c r="H168" i="40"/>
  <c r="H164" i="40"/>
  <c r="H160" i="40"/>
  <c r="H156" i="40"/>
  <c r="H152" i="40"/>
  <c r="H148" i="40"/>
  <c r="H144" i="40"/>
  <c r="H140" i="40"/>
  <c r="H136" i="40"/>
  <c r="H132" i="40"/>
  <c r="H128" i="40"/>
  <c r="H124" i="40"/>
  <c r="H120" i="40"/>
  <c r="H116" i="40"/>
  <c r="H112" i="40"/>
  <c r="H108" i="40"/>
  <c r="H104" i="40"/>
  <c r="H100" i="40"/>
  <c r="H96" i="40"/>
  <c r="H92" i="40"/>
  <c r="H88" i="40"/>
  <c r="H84" i="40"/>
  <c r="H80" i="40"/>
  <c r="H76" i="40"/>
  <c r="H72" i="40"/>
  <c r="H68" i="40"/>
  <c r="H64" i="40"/>
  <c r="H60" i="40"/>
  <c r="H56" i="40"/>
  <c r="H52" i="40"/>
  <c r="H48" i="40"/>
  <c r="H44" i="40"/>
  <c r="H40" i="40"/>
  <c r="H36" i="40"/>
  <c r="H32" i="40"/>
  <c r="H28" i="40"/>
  <c r="H24" i="40"/>
  <c r="H20" i="40"/>
  <c r="H16" i="40"/>
  <c r="H12" i="40"/>
  <c r="H8" i="40"/>
  <c r="H4" i="40"/>
  <c r="H181" i="40"/>
  <c r="H177" i="40"/>
  <c r="H173" i="40"/>
  <c r="H169" i="40"/>
  <c r="H165" i="40"/>
  <c r="H161" i="40"/>
  <c r="H157" i="40"/>
  <c r="H153" i="40"/>
  <c r="H149" i="40"/>
  <c r="H145" i="40"/>
  <c r="H141" i="40"/>
  <c r="H137" i="40"/>
  <c r="H133" i="40"/>
  <c r="H129" i="40"/>
  <c r="H125" i="40"/>
  <c r="H121" i="40"/>
  <c r="H117" i="40"/>
  <c r="H113" i="40"/>
  <c r="H109" i="40"/>
  <c r="H105" i="40"/>
  <c r="H101" i="40"/>
  <c r="H97" i="40"/>
  <c r="H93" i="40"/>
  <c r="H89" i="40"/>
  <c r="H85" i="40"/>
  <c r="H81" i="40"/>
  <c r="H77" i="40"/>
  <c r="H73" i="40"/>
  <c r="H69" i="40"/>
  <c r="H65" i="40"/>
  <c r="H61" i="40"/>
  <c r="H57" i="40"/>
  <c r="H53" i="40"/>
  <c r="H49" i="40"/>
  <c r="H45" i="40"/>
  <c r="H41" i="40"/>
  <c r="H37" i="40"/>
  <c r="H33" i="40"/>
  <c r="H29" i="40"/>
  <c r="H25" i="40"/>
  <c r="H21" i="40"/>
  <c r="H17" i="40"/>
  <c r="H13" i="40"/>
  <c r="H9" i="40"/>
  <c r="H5" i="40"/>
  <c r="H3" i="40"/>
  <c r="G124" i="47"/>
  <c r="G120" i="47"/>
  <c r="G116" i="47"/>
  <c r="G112" i="47"/>
  <c r="G108" i="47"/>
  <c r="G104" i="47"/>
  <c r="G100" i="47"/>
  <c r="G96" i="47"/>
  <c r="G92" i="47"/>
  <c r="G88" i="47"/>
  <c r="G84" i="47"/>
  <c r="G80" i="47"/>
  <c r="G76" i="47"/>
  <c r="G72" i="47"/>
  <c r="G183" i="47"/>
  <c r="G179" i="47"/>
  <c r="G175" i="47"/>
  <c r="G171" i="47"/>
  <c r="G167" i="47"/>
  <c r="G163" i="47"/>
  <c r="G159" i="47"/>
  <c r="G155" i="47"/>
  <c r="G151" i="47"/>
  <c r="G147" i="47"/>
  <c r="G143" i="47"/>
  <c r="G139" i="47"/>
  <c r="G135" i="47"/>
  <c r="G131" i="47"/>
  <c r="G128" i="47"/>
  <c r="G125" i="47"/>
  <c r="G121" i="47"/>
  <c r="G117" i="47"/>
  <c r="G113" i="47"/>
  <c r="G109" i="47"/>
  <c r="G105" i="47"/>
  <c r="G101" i="47"/>
  <c r="G97" i="47"/>
  <c r="G93" i="47"/>
  <c r="G89" i="47"/>
  <c r="G85" i="47"/>
  <c r="G81" i="47"/>
  <c r="G77" i="47"/>
  <c r="G73" i="47"/>
  <c r="G69" i="47"/>
  <c r="G65" i="47"/>
  <c r="G61" i="47"/>
  <c r="G57" i="47"/>
  <c r="G53" i="47"/>
  <c r="G49" i="47"/>
  <c r="G180" i="47"/>
  <c r="G176" i="47"/>
  <c r="G172" i="47"/>
  <c r="G168" i="47"/>
  <c r="G164" i="47"/>
  <c r="G160" i="47"/>
  <c r="G156" i="47"/>
  <c r="G152" i="47"/>
  <c r="G148" i="47"/>
  <c r="G144" i="47"/>
  <c r="G140" i="47"/>
  <c r="G136" i="47"/>
  <c r="G132" i="47"/>
  <c r="G129" i="47"/>
  <c r="G126" i="47"/>
  <c r="G122" i="47"/>
  <c r="G118" i="47"/>
  <c r="G114" i="47"/>
  <c r="G110" i="47"/>
  <c r="G106" i="47"/>
  <c r="G102" i="47"/>
  <c r="G98" i="47"/>
  <c r="G94" i="47"/>
  <c r="G90" i="47"/>
  <c r="G86" i="47"/>
  <c r="G82" i="47"/>
  <c r="G78" i="47"/>
  <c r="G74" i="47"/>
  <c r="G70" i="47"/>
  <c r="G66" i="47"/>
  <c r="G62" i="47"/>
  <c r="G58" i="47"/>
  <c r="G54" i="47"/>
  <c r="G50" i="47"/>
  <c r="G46" i="47"/>
  <c r="G42" i="47"/>
  <c r="G38" i="47"/>
  <c r="G181" i="47"/>
  <c r="G177" i="47"/>
  <c r="G173" i="47"/>
  <c r="G169" i="47"/>
  <c r="G165" i="47"/>
  <c r="G161" i="47"/>
  <c r="G157" i="47"/>
  <c r="G153" i="47"/>
  <c r="G149" i="47"/>
  <c r="G145" i="47"/>
  <c r="G141" i="47"/>
  <c r="G111" i="47"/>
  <c r="G79" i="47"/>
  <c r="G60" i="47"/>
  <c r="G26" i="47"/>
  <c r="G19" i="47"/>
  <c r="G12" i="47"/>
  <c r="G133" i="47"/>
  <c r="G123" i="47"/>
  <c r="G91" i="47"/>
  <c r="G56" i="47"/>
  <c r="G45" i="47"/>
  <c r="G37" i="47"/>
  <c r="G30" i="47"/>
  <c r="G23" i="47"/>
  <c r="G16" i="47"/>
  <c r="G9" i="47"/>
  <c r="G5" i="47"/>
  <c r="G182" i="47"/>
  <c r="G174" i="47"/>
  <c r="G166" i="47"/>
  <c r="G158" i="47"/>
  <c r="G150" i="47"/>
  <c r="G142" i="47"/>
  <c r="G137" i="47"/>
  <c r="G103" i="47"/>
  <c r="G67" i="47"/>
  <c r="G52" i="47"/>
  <c r="G40" i="47"/>
  <c r="G34" i="47"/>
  <c r="G27" i="47"/>
  <c r="G20" i="47"/>
  <c r="G13" i="47"/>
  <c r="G115" i="47"/>
  <c r="G83" i="47"/>
  <c r="G71" i="47"/>
  <c r="G63" i="47"/>
  <c r="G48" i="47"/>
  <c r="G43" i="47"/>
  <c r="G31" i="47"/>
  <c r="G24" i="47"/>
  <c r="G17" i="47"/>
  <c r="G6" i="47"/>
  <c r="G127" i="47"/>
  <c r="G95" i="47"/>
  <c r="G59" i="47"/>
  <c r="G35" i="47"/>
  <c r="G28" i="47"/>
  <c r="G21" i="47"/>
  <c r="G10" i="47"/>
  <c r="G3" i="47"/>
  <c r="G130" i="47"/>
  <c r="G107" i="47"/>
  <c r="G75" i="47"/>
  <c r="G55" i="47"/>
  <c r="G41" i="47"/>
  <c r="G32" i="47"/>
  <c r="G25" i="47"/>
  <c r="G14" i="47"/>
  <c r="G7" i="47"/>
  <c r="G178" i="47"/>
  <c r="G170" i="47"/>
  <c r="G162" i="47"/>
  <c r="G154" i="47"/>
  <c r="G146" i="47"/>
  <c r="G134" i="47"/>
  <c r="G119" i="47"/>
  <c r="G87" i="47"/>
  <c r="G68" i="47"/>
  <c r="G51" i="47"/>
  <c r="G44" i="47"/>
  <c r="G36" i="47"/>
  <c r="G29" i="47"/>
  <c r="G18" i="47"/>
  <c r="G11" i="47"/>
  <c r="I184" i="47"/>
  <c r="G33" i="47"/>
  <c r="G47" i="47"/>
  <c r="G64" i="47"/>
  <c r="G39" i="47"/>
  <c r="G22" i="47"/>
  <c r="G138" i="47"/>
  <c r="G15" i="47"/>
  <c r="G99" i="47"/>
  <c r="G8" i="47"/>
  <c r="G195" i="47"/>
  <c r="H1" i="45"/>
  <c r="G195" i="45"/>
  <c r="D182" i="29"/>
  <c r="D185" i="29" s="1"/>
  <c r="G46" i="38"/>
  <c r="G50" i="38"/>
  <c r="G85" i="38"/>
  <c r="G33" i="38"/>
  <c r="G32" i="38"/>
  <c r="G43" i="38"/>
  <c r="G74" i="38"/>
  <c r="G108" i="38"/>
  <c r="G96" i="38"/>
  <c r="G25" i="38"/>
  <c r="G121" i="38"/>
  <c r="G67" i="38"/>
  <c r="G35" i="38"/>
  <c r="G168" i="38"/>
  <c r="G53" i="38"/>
  <c r="G70" i="38"/>
  <c r="G48" i="38"/>
  <c r="G17" i="38"/>
  <c r="G141" i="38"/>
  <c r="G126" i="38"/>
  <c r="G7" i="38"/>
  <c r="G173" i="38"/>
  <c r="G30" i="38"/>
  <c r="G31" i="38"/>
  <c r="G137" i="38"/>
  <c r="G19" i="38"/>
  <c r="G39" i="38"/>
  <c r="G75" i="38"/>
  <c r="G153" i="38"/>
  <c r="G138" i="38"/>
  <c r="G146" i="38"/>
  <c r="G37" i="38"/>
  <c r="G34" i="38"/>
  <c r="G27" i="38"/>
  <c r="G62" i="38"/>
  <c r="G40" i="38"/>
  <c r="G77" i="38"/>
  <c r="G66" i="38"/>
  <c r="G20" i="38"/>
  <c r="G164" i="38"/>
  <c r="G172" i="38"/>
  <c r="G181" i="38"/>
  <c r="G84" i="38"/>
  <c r="G151" i="38"/>
  <c r="I151" i="38" s="1"/>
  <c r="L151" i="38" s="1"/>
  <c r="D154" i="4" s="1"/>
  <c r="F154" i="4" s="1"/>
  <c r="H102" i="38"/>
  <c r="G94" i="38"/>
  <c r="G99" i="38"/>
  <c r="G56" i="38"/>
  <c r="G13" i="38"/>
  <c r="G93" i="38"/>
  <c r="G83" i="38"/>
  <c r="G98" i="38"/>
  <c r="G47" i="38"/>
  <c r="G44" i="38"/>
  <c r="G97" i="38"/>
  <c r="G119" i="38"/>
  <c r="H49" i="38"/>
  <c r="G109" i="38"/>
  <c r="G114" i="38"/>
  <c r="G64" i="38"/>
  <c r="G21" i="38"/>
  <c r="G101" i="38"/>
  <c r="G91" i="38"/>
  <c r="G133" i="38"/>
  <c r="G55" i="38"/>
  <c r="G52" i="38"/>
  <c r="G182" i="38"/>
  <c r="G143" i="38"/>
  <c r="H145" i="38"/>
  <c r="G125" i="38"/>
  <c r="G130" i="38"/>
  <c r="G88" i="38"/>
  <c r="G29" i="38"/>
  <c r="G110" i="38"/>
  <c r="G26" i="38"/>
  <c r="G165" i="38"/>
  <c r="G106" i="38"/>
  <c r="G60" i="38"/>
  <c r="G104" i="38"/>
  <c r="G147" i="38"/>
  <c r="H161" i="38"/>
  <c r="H177" i="38"/>
  <c r="G157" i="38"/>
  <c r="G24" i="38"/>
  <c r="G105" i="38"/>
  <c r="G45" i="38"/>
  <c r="G174" i="38"/>
  <c r="G42" i="38"/>
  <c r="G11" i="38"/>
  <c r="G6" i="38"/>
  <c r="G129" i="38"/>
  <c r="G140" i="38"/>
  <c r="G183" i="38"/>
  <c r="H140" i="38"/>
  <c r="H70" i="38"/>
  <c r="H86" i="38"/>
  <c r="G112" i="38"/>
  <c r="G155" i="38"/>
  <c r="H12" i="38"/>
  <c r="G78" i="38"/>
  <c r="G14" i="38"/>
  <c r="G8" i="38"/>
  <c r="G72" i="38"/>
  <c r="G169" i="38"/>
  <c r="G61" i="38"/>
  <c r="G142" i="38"/>
  <c r="G10" i="38"/>
  <c r="G82" i="38"/>
  <c r="G51" i="38"/>
  <c r="G79" i="38"/>
  <c r="G59" i="38"/>
  <c r="G100" i="38"/>
  <c r="G81" i="38"/>
  <c r="G132" i="38"/>
  <c r="G111" i="38"/>
  <c r="G175" i="38"/>
  <c r="H17" i="38"/>
  <c r="H92" i="38"/>
  <c r="G41" i="38"/>
  <c r="G176" i="38"/>
  <c r="H118" i="38"/>
  <c r="G86" i="38"/>
  <c r="G54" i="38"/>
  <c r="G16" i="38"/>
  <c r="G80" i="38"/>
  <c r="G5" i="38"/>
  <c r="G69" i="38"/>
  <c r="G158" i="38"/>
  <c r="G18" i="38"/>
  <c r="G90" i="38"/>
  <c r="G178" i="38"/>
  <c r="G95" i="38"/>
  <c r="G162" i="38"/>
  <c r="G113" i="38"/>
  <c r="G89" i="38"/>
  <c r="G136" i="38"/>
  <c r="G115" i="38"/>
  <c r="G179" i="38"/>
  <c r="H33" i="38"/>
  <c r="H108" i="38"/>
  <c r="G117" i="38"/>
  <c r="G15" i="38"/>
  <c r="G122" i="38"/>
  <c r="G36" i="38"/>
  <c r="G145" i="38"/>
  <c r="G102" i="38"/>
  <c r="G144" i="38"/>
  <c r="G123" i="38"/>
  <c r="H65" i="38"/>
  <c r="H172" i="38"/>
  <c r="G63" i="38"/>
  <c r="G154" i="38"/>
  <c r="G68" i="38"/>
  <c r="G161" i="38"/>
  <c r="G49" i="38"/>
  <c r="G118" i="38"/>
  <c r="G116" i="38"/>
  <c r="G148" i="38"/>
  <c r="G180" i="38"/>
  <c r="G127" i="38"/>
  <c r="G159" i="38"/>
  <c r="H6" i="38"/>
  <c r="H134" i="38"/>
  <c r="H81" i="38"/>
  <c r="H28" i="38"/>
  <c r="H27" i="38"/>
  <c r="G71" i="38"/>
  <c r="G170" i="38"/>
  <c r="G12" i="38"/>
  <c r="I12" i="38" s="1"/>
  <c r="L12" i="38" s="1"/>
  <c r="D15" i="4" s="1"/>
  <c r="F15" i="4" s="1"/>
  <c r="G76" i="38"/>
  <c r="G177" i="38"/>
  <c r="G57" i="38"/>
  <c r="G134" i="38"/>
  <c r="G120" i="38"/>
  <c r="G152" i="38"/>
  <c r="I1" i="38"/>
  <c r="I184" i="38" s="1"/>
  <c r="G131" i="38"/>
  <c r="G163" i="38"/>
  <c r="H22" i="38"/>
  <c r="H150" i="38"/>
  <c r="H97" i="38"/>
  <c r="H44" i="38"/>
  <c r="H59" i="38"/>
  <c r="G22" i="38"/>
  <c r="G65" i="38"/>
  <c r="G150" i="38"/>
  <c r="G124" i="38"/>
  <c r="G156" i="38"/>
  <c r="G103" i="38"/>
  <c r="G135" i="38"/>
  <c r="G167" i="38"/>
  <c r="H38" i="38"/>
  <c r="H166" i="38"/>
  <c r="H113" i="38"/>
  <c r="H60" i="38"/>
  <c r="H123" i="38"/>
  <c r="G58" i="38"/>
  <c r="G149" i="38"/>
  <c r="G23" i="38"/>
  <c r="G87" i="38"/>
  <c r="G38" i="38"/>
  <c r="G28" i="38"/>
  <c r="G92" i="38"/>
  <c r="G9" i="38"/>
  <c r="G73" i="38"/>
  <c r="G166" i="38"/>
  <c r="G128" i="38"/>
  <c r="G160" i="38"/>
  <c r="G107" i="38"/>
  <c r="G139" i="38"/>
  <c r="H54" i="38"/>
  <c r="H182" i="38"/>
  <c r="H129" i="38"/>
  <c r="H76" i="38"/>
  <c r="H155" i="38"/>
  <c r="H91" i="38"/>
  <c r="H26" i="38"/>
  <c r="H58" i="38"/>
  <c r="H90" i="38"/>
  <c r="H122" i="38"/>
  <c r="H154" i="38"/>
  <c r="H5" i="38"/>
  <c r="H37" i="38"/>
  <c r="H69" i="38"/>
  <c r="H101" i="38"/>
  <c r="H133" i="38"/>
  <c r="H165" i="38"/>
  <c r="H16" i="38"/>
  <c r="H48" i="38"/>
  <c r="H80" i="38"/>
  <c r="H112" i="38"/>
  <c r="H144" i="38"/>
  <c r="H176" i="38"/>
  <c r="H31" i="38"/>
  <c r="H63" i="38"/>
  <c r="H95" i="38"/>
  <c r="H127" i="38"/>
  <c r="H159" i="38"/>
  <c r="H30" i="38"/>
  <c r="H62" i="38"/>
  <c r="H94" i="38"/>
  <c r="H126" i="38"/>
  <c r="H158" i="38"/>
  <c r="H9" i="38"/>
  <c r="H41" i="38"/>
  <c r="H73" i="38"/>
  <c r="H105" i="38"/>
  <c r="H137" i="38"/>
  <c r="H169" i="38"/>
  <c r="H20" i="38"/>
  <c r="H52" i="38"/>
  <c r="H84" i="38"/>
  <c r="I84" i="38" s="1"/>
  <c r="L84" i="38" s="1"/>
  <c r="D87" i="4" s="1"/>
  <c r="F87" i="4" s="1"/>
  <c r="H116" i="38"/>
  <c r="H148" i="38"/>
  <c r="H180" i="38"/>
  <c r="H35" i="38"/>
  <c r="H67" i="38"/>
  <c r="H99" i="38"/>
  <c r="H131" i="38"/>
  <c r="H163" i="38"/>
  <c r="H34" i="38"/>
  <c r="H66" i="38"/>
  <c r="H98" i="38"/>
  <c r="H130" i="38"/>
  <c r="H162" i="38"/>
  <c r="H13" i="38"/>
  <c r="H45" i="38"/>
  <c r="H77" i="38"/>
  <c r="H109" i="38"/>
  <c r="H141" i="38"/>
  <c r="H173" i="38"/>
  <c r="H24" i="38"/>
  <c r="H56" i="38"/>
  <c r="H88" i="38"/>
  <c r="H120" i="38"/>
  <c r="H152" i="38"/>
  <c r="H7" i="38"/>
  <c r="H39" i="38"/>
  <c r="H71" i="38"/>
  <c r="H103" i="38"/>
  <c r="H135" i="38"/>
  <c r="H167" i="38"/>
  <c r="H124" i="38"/>
  <c r="H156" i="38"/>
  <c r="H11" i="38"/>
  <c r="H43" i="38"/>
  <c r="H75" i="38"/>
  <c r="H107" i="38"/>
  <c r="H139" i="38"/>
  <c r="H171" i="38"/>
  <c r="H10" i="38"/>
  <c r="H42" i="38"/>
  <c r="H74" i="38"/>
  <c r="H106" i="38"/>
  <c r="H138" i="38"/>
  <c r="H170" i="38"/>
  <c r="H21" i="38"/>
  <c r="H53" i="38"/>
  <c r="H85" i="38"/>
  <c r="I85" i="38" s="1"/>
  <c r="L85" i="38" s="1"/>
  <c r="D88" i="4" s="1"/>
  <c r="F88" i="4" s="1"/>
  <c r="H117" i="38"/>
  <c r="H149" i="38"/>
  <c r="H181" i="38"/>
  <c r="H32" i="38"/>
  <c r="H64" i="38"/>
  <c r="H96" i="38"/>
  <c r="H128" i="38"/>
  <c r="H160" i="38"/>
  <c r="H15" i="38"/>
  <c r="H47" i="38"/>
  <c r="H79" i="38"/>
  <c r="H111" i="38"/>
  <c r="H143" i="38"/>
  <c r="H175" i="38"/>
  <c r="H14" i="38"/>
  <c r="H46" i="38"/>
  <c r="H78" i="38"/>
  <c r="H110" i="38"/>
  <c r="H142" i="38"/>
  <c r="H174" i="38"/>
  <c r="H25" i="38"/>
  <c r="H57" i="38"/>
  <c r="H89" i="38"/>
  <c r="H121" i="38"/>
  <c r="I121" i="38" s="1"/>
  <c r="L121" i="38" s="1"/>
  <c r="D124" i="4" s="1"/>
  <c r="F124" i="4" s="1"/>
  <c r="H153" i="38"/>
  <c r="H36" i="38"/>
  <c r="H68" i="38"/>
  <c r="H100" i="38"/>
  <c r="H132" i="38"/>
  <c r="H164" i="38"/>
  <c r="H19" i="38"/>
  <c r="I19" i="38" s="1"/>
  <c r="L19" i="38" s="1"/>
  <c r="D22" i="4" s="1"/>
  <c r="F22" i="4" s="1"/>
  <c r="H51" i="38"/>
  <c r="H83" i="38"/>
  <c r="H115" i="38"/>
  <c r="H147" i="38"/>
  <c r="H179" i="38"/>
  <c r="H18" i="38"/>
  <c r="H50" i="38"/>
  <c r="H82" i="38"/>
  <c r="H114" i="38"/>
  <c r="H146" i="38"/>
  <c r="H178" i="38"/>
  <c r="H29" i="38"/>
  <c r="H61" i="38"/>
  <c r="H93" i="38"/>
  <c r="H125" i="38"/>
  <c r="H157" i="38"/>
  <c r="H8" i="38"/>
  <c r="H40" i="38"/>
  <c r="H72" i="38"/>
  <c r="H104" i="38"/>
  <c r="H136" i="38"/>
  <c r="H168" i="38"/>
  <c r="H23" i="38"/>
  <c r="H55" i="38"/>
  <c r="H87" i="38"/>
  <c r="H119" i="38"/>
  <c r="G195" i="38"/>
  <c r="G195" i="51" l="1"/>
  <c r="H1" i="51"/>
  <c r="G4" i="49"/>
  <c r="G5" i="49"/>
  <c r="G3" i="49"/>
  <c r="H9" i="50"/>
  <c r="H17" i="50"/>
  <c r="H25" i="50"/>
  <c r="H33" i="50"/>
  <c r="H41" i="50"/>
  <c r="H49" i="50"/>
  <c r="H57" i="50"/>
  <c r="H65" i="50"/>
  <c r="H73" i="50"/>
  <c r="H81" i="50"/>
  <c r="H89" i="50"/>
  <c r="H97" i="50"/>
  <c r="H105" i="50"/>
  <c r="H113" i="50"/>
  <c r="H121" i="50"/>
  <c r="H129" i="50"/>
  <c r="H137" i="50"/>
  <c r="H145" i="50"/>
  <c r="H153" i="50"/>
  <c r="H161" i="50"/>
  <c r="H169" i="50"/>
  <c r="H177" i="50"/>
  <c r="H30" i="50"/>
  <c r="H10" i="50"/>
  <c r="H18" i="50"/>
  <c r="H26" i="50"/>
  <c r="H34" i="50"/>
  <c r="H42" i="50"/>
  <c r="H50" i="50"/>
  <c r="H58" i="50"/>
  <c r="H66" i="50"/>
  <c r="H74" i="50"/>
  <c r="H82" i="50"/>
  <c r="H90" i="50"/>
  <c r="H98" i="50"/>
  <c r="H106" i="50"/>
  <c r="H114" i="50"/>
  <c r="H122" i="50"/>
  <c r="H130" i="50"/>
  <c r="H138" i="50"/>
  <c r="H146" i="50"/>
  <c r="H154" i="50"/>
  <c r="H162" i="50"/>
  <c r="H170" i="50"/>
  <c r="H178" i="50"/>
  <c r="H22" i="50"/>
  <c r="H118" i="50"/>
  <c r="H174" i="50"/>
  <c r="H31" i="50"/>
  <c r="H95" i="50"/>
  <c r="H151" i="50"/>
  <c r="H11" i="50"/>
  <c r="H19" i="50"/>
  <c r="H27" i="50"/>
  <c r="H35" i="50"/>
  <c r="H43" i="50"/>
  <c r="H51" i="50"/>
  <c r="H59" i="50"/>
  <c r="H67" i="50"/>
  <c r="H75" i="50"/>
  <c r="H83" i="50"/>
  <c r="H91" i="50"/>
  <c r="H99" i="50"/>
  <c r="H107" i="50"/>
  <c r="H115" i="50"/>
  <c r="H123" i="50"/>
  <c r="H131" i="50"/>
  <c r="H139" i="50"/>
  <c r="H147" i="50"/>
  <c r="H155" i="50"/>
  <c r="H163" i="50"/>
  <c r="H171" i="50"/>
  <c r="H179" i="50"/>
  <c r="H38" i="50"/>
  <c r="H110" i="50"/>
  <c r="H166" i="50"/>
  <c r="H39" i="50"/>
  <c r="H87" i="50"/>
  <c r="H135" i="50"/>
  <c r="H183" i="50"/>
  <c r="H4" i="50"/>
  <c r="H12" i="50"/>
  <c r="H20" i="50"/>
  <c r="H28" i="50"/>
  <c r="H36" i="50"/>
  <c r="H44" i="50"/>
  <c r="H52" i="50"/>
  <c r="H60" i="50"/>
  <c r="H68" i="50"/>
  <c r="H76" i="50"/>
  <c r="H84" i="50"/>
  <c r="H92" i="50"/>
  <c r="H100" i="50"/>
  <c r="H108" i="50"/>
  <c r="H116" i="50"/>
  <c r="H124" i="50"/>
  <c r="H132" i="50"/>
  <c r="H140" i="50"/>
  <c r="H148" i="50"/>
  <c r="H156" i="50"/>
  <c r="H164" i="50"/>
  <c r="H172" i="50"/>
  <c r="H180" i="50"/>
  <c r="H14" i="50"/>
  <c r="H134" i="50"/>
  <c r="H23" i="50"/>
  <c r="H111" i="50"/>
  <c r="H175" i="50"/>
  <c r="H13" i="50"/>
  <c r="H21" i="50"/>
  <c r="H29" i="50"/>
  <c r="H37" i="50"/>
  <c r="H45" i="50"/>
  <c r="H53" i="50"/>
  <c r="H61" i="50"/>
  <c r="H69" i="50"/>
  <c r="H77" i="50"/>
  <c r="H85" i="50"/>
  <c r="H93" i="50"/>
  <c r="H101" i="50"/>
  <c r="H109" i="50"/>
  <c r="H117" i="50"/>
  <c r="H125" i="50"/>
  <c r="H133" i="50"/>
  <c r="H141" i="50"/>
  <c r="H149" i="50"/>
  <c r="H157" i="50"/>
  <c r="H165" i="50"/>
  <c r="H173" i="50"/>
  <c r="H181" i="50"/>
  <c r="H6" i="50"/>
  <c r="H62" i="50"/>
  <c r="H86" i="50"/>
  <c r="H102" i="50"/>
  <c r="H142" i="50"/>
  <c r="H158" i="50"/>
  <c r="H7" i="50"/>
  <c r="H55" i="50"/>
  <c r="H71" i="50"/>
  <c r="H103" i="50"/>
  <c r="H127" i="50"/>
  <c r="H159" i="50"/>
  <c r="H8" i="50"/>
  <c r="H16" i="50"/>
  <c r="H24" i="50"/>
  <c r="H32" i="50"/>
  <c r="H40" i="50"/>
  <c r="H48" i="50"/>
  <c r="H56" i="50"/>
  <c r="H64" i="50"/>
  <c r="H72" i="50"/>
  <c r="H80" i="50"/>
  <c r="H88" i="50"/>
  <c r="H96" i="50"/>
  <c r="H104" i="50"/>
  <c r="H112" i="50"/>
  <c r="H120" i="50"/>
  <c r="H128" i="50"/>
  <c r="H136" i="50"/>
  <c r="H144" i="50"/>
  <c r="H152" i="50"/>
  <c r="H160" i="50"/>
  <c r="H168" i="50"/>
  <c r="H176" i="50"/>
  <c r="H3" i="50"/>
  <c r="H46" i="50"/>
  <c r="H54" i="50"/>
  <c r="H70" i="50"/>
  <c r="H78" i="50"/>
  <c r="H94" i="50"/>
  <c r="H126" i="50"/>
  <c r="H150" i="50"/>
  <c r="H182" i="50"/>
  <c r="H15" i="50"/>
  <c r="H47" i="50"/>
  <c r="H63" i="50"/>
  <c r="H79" i="50"/>
  <c r="H119" i="50"/>
  <c r="H143" i="50"/>
  <c r="H167" i="50"/>
  <c r="I3" i="50"/>
  <c r="L3" i="50" s="1"/>
  <c r="I1" i="50"/>
  <c r="G8" i="49"/>
  <c r="G16" i="49"/>
  <c r="G24" i="49"/>
  <c r="G32" i="49"/>
  <c r="G40" i="49"/>
  <c r="G48" i="49"/>
  <c r="G56" i="49"/>
  <c r="G64" i="49"/>
  <c r="G72" i="49"/>
  <c r="G80" i="49"/>
  <c r="G88" i="49"/>
  <c r="G96" i="49"/>
  <c r="G104" i="49"/>
  <c r="G112" i="49"/>
  <c r="G120" i="49"/>
  <c r="G128" i="49"/>
  <c r="G136" i="49"/>
  <c r="G144" i="49"/>
  <c r="G152" i="49"/>
  <c r="G160" i="49"/>
  <c r="G168" i="49"/>
  <c r="G176" i="49"/>
  <c r="G124" i="49"/>
  <c r="G30" i="49"/>
  <c r="G62" i="49"/>
  <c r="G78" i="49"/>
  <c r="G118" i="49"/>
  <c r="G142" i="49"/>
  <c r="G174" i="49"/>
  <c r="G15" i="49"/>
  <c r="G47" i="49"/>
  <c r="G71" i="49"/>
  <c r="G111" i="49"/>
  <c r="G151" i="49"/>
  <c r="I1" i="49"/>
  <c r="G9" i="49"/>
  <c r="G17" i="49"/>
  <c r="G25" i="49"/>
  <c r="G33" i="49"/>
  <c r="G41" i="49"/>
  <c r="G49" i="49"/>
  <c r="G57" i="49"/>
  <c r="G65" i="49"/>
  <c r="G73" i="49"/>
  <c r="G81" i="49"/>
  <c r="G89" i="49"/>
  <c r="G97" i="49"/>
  <c r="G105" i="49"/>
  <c r="G113" i="49"/>
  <c r="G121" i="49"/>
  <c r="G129" i="49"/>
  <c r="G137" i="49"/>
  <c r="G145" i="49"/>
  <c r="G153" i="49"/>
  <c r="G161" i="49"/>
  <c r="G169" i="49"/>
  <c r="G177" i="49"/>
  <c r="G46" i="49"/>
  <c r="G134" i="49"/>
  <c r="G183" i="49"/>
  <c r="G39" i="49"/>
  <c r="G95" i="49"/>
  <c r="G135" i="49"/>
  <c r="G175" i="49"/>
  <c r="G181" i="49"/>
  <c r="G10" i="49"/>
  <c r="G18" i="49"/>
  <c r="G26" i="49"/>
  <c r="G34" i="49"/>
  <c r="G42" i="49"/>
  <c r="G50" i="49"/>
  <c r="G58" i="49"/>
  <c r="G66" i="49"/>
  <c r="G74" i="49"/>
  <c r="G82" i="49"/>
  <c r="G90" i="49"/>
  <c r="G98" i="49"/>
  <c r="G106" i="49"/>
  <c r="G114" i="49"/>
  <c r="G122" i="49"/>
  <c r="G130" i="49"/>
  <c r="G138" i="49"/>
  <c r="G146" i="49"/>
  <c r="G154" i="49"/>
  <c r="G162" i="49"/>
  <c r="G170" i="49"/>
  <c r="G178" i="49"/>
  <c r="G100" i="49"/>
  <c r="G148" i="49"/>
  <c r="G180" i="49"/>
  <c r="G14" i="49"/>
  <c r="G110" i="49"/>
  <c r="G55" i="49"/>
  <c r="G127" i="49"/>
  <c r="G11" i="49"/>
  <c r="G19" i="49"/>
  <c r="G27" i="49"/>
  <c r="G35" i="49"/>
  <c r="G43" i="49"/>
  <c r="G51" i="49"/>
  <c r="G59" i="49"/>
  <c r="G67" i="49"/>
  <c r="G75" i="49"/>
  <c r="G83" i="49"/>
  <c r="G91" i="49"/>
  <c r="G99" i="49"/>
  <c r="G107" i="49"/>
  <c r="G115" i="49"/>
  <c r="G123" i="49"/>
  <c r="G131" i="49"/>
  <c r="G139" i="49"/>
  <c r="G147" i="49"/>
  <c r="G155" i="49"/>
  <c r="G163" i="49"/>
  <c r="G171" i="49"/>
  <c r="G179" i="49"/>
  <c r="G12" i="49"/>
  <c r="G36" i="49"/>
  <c r="G44" i="49"/>
  <c r="G60" i="49"/>
  <c r="G84" i="49"/>
  <c r="G108" i="49"/>
  <c r="G140" i="49"/>
  <c r="G164" i="49"/>
  <c r="G6" i="49"/>
  <c r="G54" i="49"/>
  <c r="G70" i="49"/>
  <c r="G86" i="49"/>
  <c r="G126" i="49"/>
  <c r="G158" i="49"/>
  <c r="G7" i="49"/>
  <c r="G63" i="49"/>
  <c r="G87" i="49"/>
  <c r="G119" i="49"/>
  <c r="G167" i="49"/>
  <c r="G20" i="49"/>
  <c r="G28" i="49"/>
  <c r="G52" i="49"/>
  <c r="G68" i="49"/>
  <c r="G76" i="49"/>
  <c r="G92" i="49"/>
  <c r="G116" i="49"/>
  <c r="G132" i="49"/>
  <c r="G156" i="49"/>
  <c r="G172" i="49"/>
  <c r="G38" i="49"/>
  <c r="G102" i="49"/>
  <c r="G150" i="49"/>
  <c r="G23" i="49"/>
  <c r="G79" i="49"/>
  <c r="G143" i="49"/>
  <c r="G13" i="49"/>
  <c r="G21" i="49"/>
  <c r="G29" i="49"/>
  <c r="G37" i="49"/>
  <c r="G45" i="49"/>
  <c r="G53" i="49"/>
  <c r="G61" i="49"/>
  <c r="G69" i="49"/>
  <c r="G77" i="49"/>
  <c r="G85" i="49"/>
  <c r="G93" i="49"/>
  <c r="G101" i="49"/>
  <c r="G109" i="49"/>
  <c r="G117" i="49"/>
  <c r="G125" i="49"/>
  <c r="G133" i="49"/>
  <c r="G141" i="49"/>
  <c r="G149" i="49"/>
  <c r="G157" i="49"/>
  <c r="G165" i="49"/>
  <c r="G173" i="49"/>
  <c r="G182" i="49"/>
  <c r="G22" i="49"/>
  <c r="G94" i="49"/>
  <c r="G166" i="49"/>
  <c r="G31" i="49"/>
  <c r="G103" i="49"/>
  <c r="G159" i="49"/>
  <c r="H182" i="49"/>
  <c r="H3" i="49"/>
  <c r="I1" i="48"/>
  <c r="H7" i="48"/>
  <c r="H15" i="48"/>
  <c r="H23" i="48"/>
  <c r="I23" i="48" s="1"/>
  <c r="H31" i="48"/>
  <c r="I31" i="48" s="1"/>
  <c r="H39" i="48"/>
  <c r="H47" i="48"/>
  <c r="I47" i="48" s="1"/>
  <c r="H55" i="48"/>
  <c r="I55" i="48" s="1"/>
  <c r="H63" i="48"/>
  <c r="H71" i="48"/>
  <c r="H79" i="48"/>
  <c r="H87" i="48"/>
  <c r="I87" i="48" s="1"/>
  <c r="H95" i="48"/>
  <c r="I95" i="48" s="1"/>
  <c r="L95" i="48" s="1"/>
  <c r="AB98" i="4" s="1"/>
  <c r="H103" i="48"/>
  <c r="H111" i="48"/>
  <c r="I111" i="48" s="1"/>
  <c r="L111" i="48" s="1"/>
  <c r="AB114" i="4" s="1"/>
  <c r="H119" i="48"/>
  <c r="H127" i="48"/>
  <c r="H135" i="48"/>
  <c r="H167" i="48"/>
  <c r="H3" i="48"/>
  <c r="H8" i="48"/>
  <c r="I8" i="48" s="1"/>
  <c r="L8" i="48" s="1"/>
  <c r="AB11" i="4" s="1"/>
  <c r="H16" i="48"/>
  <c r="H24" i="48"/>
  <c r="I24" i="48" s="1"/>
  <c r="H32" i="48"/>
  <c r="H40" i="48"/>
  <c r="H48" i="48"/>
  <c r="H56" i="48"/>
  <c r="H64" i="48"/>
  <c r="I64" i="48" s="1"/>
  <c r="H72" i="48"/>
  <c r="I72" i="48" s="1"/>
  <c r="H80" i="48"/>
  <c r="H88" i="48"/>
  <c r="I88" i="48" s="1"/>
  <c r="H96" i="48"/>
  <c r="I96" i="48" s="1"/>
  <c r="L96" i="48" s="1"/>
  <c r="AB99" i="4" s="1"/>
  <c r="H104" i="48"/>
  <c r="H112" i="48"/>
  <c r="H120" i="48"/>
  <c r="H128" i="48"/>
  <c r="I128" i="48" s="1"/>
  <c r="H136" i="48"/>
  <c r="I136" i="48" s="1"/>
  <c r="H144" i="48"/>
  <c r="H152" i="48"/>
  <c r="I152" i="48" s="1"/>
  <c r="H160" i="48"/>
  <c r="I160" i="48" s="1"/>
  <c r="L160" i="48" s="1"/>
  <c r="AB163" i="4" s="1"/>
  <c r="H168" i="48"/>
  <c r="H176" i="48"/>
  <c r="H159" i="48"/>
  <c r="H9" i="48"/>
  <c r="H17" i="48"/>
  <c r="I17" i="48" s="1"/>
  <c r="H25" i="48"/>
  <c r="H33" i="48"/>
  <c r="I33" i="48" s="1"/>
  <c r="H41" i="48"/>
  <c r="I41" i="48" s="1"/>
  <c r="H49" i="48"/>
  <c r="H57" i="48"/>
  <c r="H65" i="48"/>
  <c r="H73" i="48"/>
  <c r="I73" i="48" s="1"/>
  <c r="H81" i="48"/>
  <c r="I81" i="48" s="1"/>
  <c r="L81" i="48" s="1"/>
  <c r="AB84" i="4" s="1"/>
  <c r="H89" i="48"/>
  <c r="H97" i="48"/>
  <c r="I97" i="48" s="1"/>
  <c r="H105" i="48"/>
  <c r="I105" i="48" s="1"/>
  <c r="L105" i="48" s="1"/>
  <c r="AB108" i="4" s="1"/>
  <c r="H113" i="48"/>
  <c r="H121" i="48"/>
  <c r="H129" i="48"/>
  <c r="H137" i="48"/>
  <c r="I137" i="48" s="1"/>
  <c r="L137" i="48" s="1"/>
  <c r="AB140" i="4" s="1"/>
  <c r="H145" i="48"/>
  <c r="I145" i="48" s="1"/>
  <c r="H153" i="48"/>
  <c r="H161" i="48"/>
  <c r="I161" i="48" s="1"/>
  <c r="H169" i="48"/>
  <c r="I169" i="48" s="1"/>
  <c r="L169" i="48" s="1"/>
  <c r="AB172" i="4" s="1"/>
  <c r="H177" i="48"/>
  <c r="H154" i="48"/>
  <c r="H174" i="48"/>
  <c r="H182" i="48"/>
  <c r="I182" i="48" s="1"/>
  <c r="H143" i="48"/>
  <c r="I143" i="48" s="1"/>
  <c r="H175" i="48"/>
  <c r="H10" i="48"/>
  <c r="I10" i="48" s="1"/>
  <c r="L10" i="48" s="1"/>
  <c r="AB13" i="4" s="1"/>
  <c r="H18" i="48"/>
  <c r="H26" i="48"/>
  <c r="H34" i="48"/>
  <c r="H42" i="48"/>
  <c r="H50" i="48"/>
  <c r="I50" i="48" s="1"/>
  <c r="H58" i="48"/>
  <c r="I58" i="48" s="1"/>
  <c r="H66" i="48"/>
  <c r="H74" i="48"/>
  <c r="I74" i="48" s="1"/>
  <c r="H82" i="48"/>
  <c r="I82" i="48" s="1"/>
  <c r="H90" i="48"/>
  <c r="H98" i="48"/>
  <c r="H106" i="48"/>
  <c r="H114" i="48"/>
  <c r="I114" i="48" s="1"/>
  <c r="H122" i="48"/>
  <c r="I122" i="48" s="1"/>
  <c r="L122" i="48" s="1"/>
  <c r="AB125" i="4" s="1"/>
  <c r="H130" i="48"/>
  <c r="H138" i="48"/>
  <c r="I138" i="48" s="1"/>
  <c r="H146" i="48"/>
  <c r="I146" i="48" s="1"/>
  <c r="H162" i="48"/>
  <c r="I162" i="48" s="1"/>
  <c r="H170" i="48"/>
  <c r="H178" i="48"/>
  <c r="H151" i="48"/>
  <c r="I151" i="48" s="1"/>
  <c r="H11" i="48"/>
  <c r="I11" i="48" s="1"/>
  <c r="L11" i="48" s="1"/>
  <c r="AB14" i="4" s="1"/>
  <c r="H19" i="48"/>
  <c r="H27" i="48"/>
  <c r="I27" i="48" s="1"/>
  <c r="H35" i="48"/>
  <c r="I35" i="48" s="1"/>
  <c r="H43" i="48"/>
  <c r="I43" i="48" s="1"/>
  <c r="L43" i="48" s="1"/>
  <c r="AB46" i="4" s="1"/>
  <c r="H51" i="48"/>
  <c r="H59" i="48"/>
  <c r="H67" i="48"/>
  <c r="I67" i="48" s="1"/>
  <c r="H75" i="48"/>
  <c r="I75" i="48" s="1"/>
  <c r="H83" i="48"/>
  <c r="H91" i="48"/>
  <c r="I91" i="48" s="1"/>
  <c r="H99" i="48"/>
  <c r="I99" i="48" s="1"/>
  <c r="H107" i="48"/>
  <c r="I107" i="48" s="1"/>
  <c r="H115" i="48"/>
  <c r="H123" i="48"/>
  <c r="H131" i="48"/>
  <c r="I131" i="48" s="1"/>
  <c r="H139" i="48"/>
  <c r="I139" i="48" s="1"/>
  <c r="H147" i="48"/>
  <c r="H155" i="48"/>
  <c r="I155" i="48" s="1"/>
  <c r="H163" i="48"/>
  <c r="I163" i="48" s="1"/>
  <c r="L163" i="48" s="1"/>
  <c r="AB166" i="4" s="1"/>
  <c r="H171" i="48"/>
  <c r="H179" i="48"/>
  <c r="H22" i="48"/>
  <c r="H54" i="48"/>
  <c r="I54" i="48" s="1"/>
  <c r="H86" i="48"/>
  <c r="I86" i="48" s="1"/>
  <c r="H126" i="48"/>
  <c r="H142" i="48"/>
  <c r="I142" i="48" s="1"/>
  <c r="H150" i="48"/>
  <c r="I150" i="48" s="1"/>
  <c r="H158" i="48"/>
  <c r="I158" i="48" s="1"/>
  <c r="L158" i="48" s="1"/>
  <c r="AB161" i="4" s="1"/>
  <c r="H4" i="48"/>
  <c r="H12" i="48"/>
  <c r="H20" i="48"/>
  <c r="I20" i="48" s="1"/>
  <c r="L20" i="48" s="1"/>
  <c r="AB23" i="4" s="1"/>
  <c r="H28" i="48"/>
  <c r="I28" i="48" s="1"/>
  <c r="L28" i="48" s="1"/>
  <c r="AB31" i="4" s="1"/>
  <c r="H36" i="48"/>
  <c r="H44" i="48"/>
  <c r="I44" i="48" s="1"/>
  <c r="H52" i="48"/>
  <c r="I52" i="48" s="1"/>
  <c r="H60" i="48"/>
  <c r="H68" i="48"/>
  <c r="H76" i="48"/>
  <c r="H84" i="48"/>
  <c r="I84" i="48" s="1"/>
  <c r="H92" i="48"/>
  <c r="I92" i="48" s="1"/>
  <c r="L92" i="48" s="1"/>
  <c r="AB95" i="4" s="1"/>
  <c r="H100" i="48"/>
  <c r="H108" i="48"/>
  <c r="I108" i="48" s="1"/>
  <c r="H116" i="48"/>
  <c r="I116" i="48" s="1"/>
  <c r="H124" i="48"/>
  <c r="H132" i="48"/>
  <c r="H140" i="48"/>
  <c r="H148" i="48"/>
  <c r="I148" i="48" s="1"/>
  <c r="H156" i="48"/>
  <c r="I156" i="48" s="1"/>
  <c r="H164" i="48"/>
  <c r="H172" i="48"/>
  <c r="I172" i="48" s="1"/>
  <c r="H180" i="48"/>
  <c r="I180" i="48" s="1"/>
  <c r="H14" i="48"/>
  <c r="I14" i="48" s="1"/>
  <c r="H30" i="48"/>
  <c r="I30" i="48" s="1"/>
  <c r="H46" i="48"/>
  <c r="H70" i="48"/>
  <c r="I70" i="48" s="1"/>
  <c r="H94" i="48"/>
  <c r="I94" i="48" s="1"/>
  <c r="L94" i="48" s="1"/>
  <c r="AB97" i="4" s="1"/>
  <c r="H110" i="48"/>
  <c r="H5" i="48"/>
  <c r="I5" i="48" s="1"/>
  <c r="H13" i="48"/>
  <c r="I13" i="48" s="1"/>
  <c r="H21" i="48"/>
  <c r="H29" i="48"/>
  <c r="H37" i="48"/>
  <c r="H45" i="48"/>
  <c r="I45" i="48" s="1"/>
  <c r="H53" i="48"/>
  <c r="I53" i="48" s="1"/>
  <c r="H61" i="48"/>
  <c r="H69" i="48"/>
  <c r="I69" i="48" s="1"/>
  <c r="H77" i="48"/>
  <c r="I77" i="48" s="1"/>
  <c r="L77" i="48" s="1"/>
  <c r="AB80" i="4" s="1"/>
  <c r="H85" i="48"/>
  <c r="H93" i="48"/>
  <c r="I93" i="48" s="1"/>
  <c r="H101" i="48"/>
  <c r="H109" i="48"/>
  <c r="I109" i="48" s="1"/>
  <c r="H117" i="48"/>
  <c r="I117" i="48" s="1"/>
  <c r="H125" i="48"/>
  <c r="H133" i="48"/>
  <c r="I133" i="48" s="1"/>
  <c r="H141" i="48"/>
  <c r="I141" i="48" s="1"/>
  <c r="L141" i="48" s="1"/>
  <c r="AB144" i="4" s="1"/>
  <c r="H149" i="48"/>
  <c r="I149" i="48" s="1"/>
  <c r="L149" i="48" s="1"/>
  <c r="AB152" i="4" s="1"/>
  <c r="H157" i="48"/>
  <c r="I157" i="48" s="1"/>
  <c r="H165" i="48"/>
  <c r="I165" i="48" s="1"/>
  <c r="H173" i="48"/>
  <c r="I173" i="48" s="1"/>
  <c r="L173" i="48" s="1"/>
  <c r="AB176" i="4" s="1"/>
  <c r="H181" i="48"/>
  <c r="I181" i="48" s="1"/>
  <c r="H6" i="48"/>
  <c r="H38" i="48"/>
  <c r="I38" i="48" s="1"/>
  <c r="H62" i="48"/>
  <c r="I62" i="48" s="1"/>
  <c r="L62" i="48" s="1"/>
  <c r="AB65" i="4" s="1"/>
  <c r="H78" i="48"/>
  <c r="H102" i="48"/>
  <c r="I102" i="48" s="1"/>
  <c r="H134" i="48"/>
  <c r="H166" i="48"/>
  <c r="I166" i="48" s="1"/>
  <c r="H118" i="48"/>
  <c r="I118" i="48" s="1"/>
  <c r="I65" i="48"/>
  <c r="I144" i="48"/>
  <c r="I80" i="48"/>
  <c r="I16" i="48"/>
  <c r="I135" i="48"/>
  <c r="I71" i="48"/>
  <c r="L71" i="48" s="1"/>
  <c r="AB74" i="4" s="1"/>
  <c r="I7" i="48"/>
  <c r="L7" i="48" s="1"/>
  <c r="AB10" i="4" s="1"/>
  <c r="I174" i="48"/>
  <c r="I110" i="48"/>
  <c r="I46" i="48"/>
  <c r="I101" i="48"/>
  <c r="L101" i="48" s="1"/>
  <c r="AB104" i="4" s="1"/>
  <c r="I37" i="48"/>
  <c r="I147" i="48"/>
  <c r="I83" i="48"/>
  <c r="I19" i="48"/>
  <c r="I130" i="48"/>
  <c r="L130" i="48" s="1"/>
  <c r="AB133" i="4" s="1"/>
  <c r="I66" i="48"/>
  <c r="I9" i="48"/>
  <c r="I119" i="48"/>
  <c r="I129" i="48"/>
  <c r="I85" i="48"/>
  <c r="I21" i="48"/>
  <c r="I140" i="48"/>
  <c r="L140" i="48" s="1"/>
  <c r="AB143" i="4" s="1"/>
  <c r="I76" i="48"/>
  <c r="L76" i="48" s="1"/>
  <c r="AB79" i="4" s="1"/>
  <c r="I12" i="48"/>
  <c r="L12" i="48" s="1"/>
  <c r="AB15" i="4" s="1"/>
  <c r="I178" i="48"/>
  <c r="I177" i="48"/>
  <c r="L177" i="48" s="1"/>
  <c r="AB180" i="4" s="1"/>
  <c r="I120" i="48"/>
  <c r="L120" i="48" s="1"/>
  <c r="AB123" i="4" s="1"/>
  <c r="I56" i="48"/>
  <c r="L56" i="48" s="1"/>
  <c r="AB59" i="4" s="1"/>
  <c r="I175" i="48"/>
  <c r="L175" i="48" s="1"/>
  <c r="AB178" i="4" s="1"/>
  <c r="I22" i="48"/>
  <c r="I132" i="48"/>
  <c r="L132" i="48" s="1"/>
  <c r="AB135" i="4" s="1"/>
  <c r="I68" i="48"/>
  <c r="I4" i="48"/>
  <c r="L4" i="48" s="1"/>
  <c r="AB7" i="4" s="1"/>
  <c r="I123" i="48"/>
  <c r="I59" i="48"/>
  <c r="L59" i="48" s="1"/>
  <c r="AB62" i="4" s="1"/>
  <c r="I170" i="48"/>
  <c r="I106" i="48"/>
  <c r="I42" i="48"/>
  <c r="L42" i="48" s="1"/>
  <c r="AB45" i="4" s="1"/>
  <c r="I29" i="48"/>
  <c r="I153" i="48"/>
  <c r="I176" i="48"/>
  <c r="I112" i="48"/>
  <c r="I48" i="48"/>
  <c r="L48" i="48" s="1"/>
  <c r="AB51" i="4" s="1"/>
  <c r="I121" i="48"/>
  <c r="I167" i="48"/>
  <c r="I103" i="48"/>
  <c r="I39" i="48"/>
  <c r="I78" i="48"/>
  <c r="I124" i="48"/>
  <c r="I60" i="48"/>
  <c r="L60" i="48" s="1"/>
  <c r="AB63" i="4" s="1"/>
  <c r="I179" i="48"/>
  <c r="I115" i="48"/>
  <c r="I51" i="48"/>
  <c r="L51" i="48" s="1"/>
  <c r="AB54" i="4" s="1"/>
  <c r="I98" i="48"/>
  <c r="L98" i="48" s="1"/>
  <c r="AB101" i="4" s="1"/>
  <c r="I34" i="48"/>
  <c r="I63" i="48"/>
  <c r="I168" i="48"/>
  <c r="I104" i="48"/>
  <c r="I40" i="48"/>
  <c r="I159" i="48"/>
  <c r="L159" i="48" s="1"/>
  <c r="AB162" i="4" s="1"/>
  <c r="I49" i="48"/>
  <c r="I134" i="48"/>
  <c r="I6" i="48"/>
  <c r="L6" i="48" s="1"/>
  <c r="AB9" i="4" s="1"/>
  <c r="I125" i="48"/>
  <c r="I61" i="48"/>
  <c r="I171" i="48"/>
  <c r="I154" i="48"/>
  <c r="L154" i="48" s="1"/>
  <c r="AB157" i="4" s="1"/>
  <c r="I90" i="48"/>
  <c r="L90" i="48" s="1"/>
  <c r="AB93" i="4" s="1"/>
  <c r="I26" i="48"/>
  <c r="I127" i="48"/>
  <c r="I113" i="48"/>
  <c r="I32" i="48"/>
  <c r="I25" i="48"/>
  <c r="I126" i="48"/>
  <c r="I18" i="48"/>
  <c r="I89" i="48"/>
  <c r="I57" i="48"/>
  <c r="L57" i="48" s="1"/>
  <c r="AB60" i="4" s="1"/>
  <c r="I79" i="48"/>
  <c r="I15" i="48"/>
  <c r="I164" i="48"/>
  <c r="I100" i="48"/>
  <c r="L100" i="48" s="1"/>
  <c r="AB103" i="4" s="1"/>
  <c r="I36" i="48"/>
  <c r="H14" i="47"/>
  <c r="I14" i="47" s="1"/>
  <c r="L14" i="47" s="1"/>
  <c r="Y17" i="4" s="1"/>
  <c r="H22" i="47"/>
  <c r="H30" i="47"/>
  <c r="I30" i="47" s="1"/>
  <c r="L30" i="47" s="1"/>
  <c r="Y33" i="4" s="1"/>
  <c r="H38" i="47"/>
  <c r="I38" i="47" s="1"/>
  <c r="L38" i="47" s="1"/>
  <c r="Y41" i="4" s="1"/>
  <c r="H46" i="47"/>
  <c r="I46" i="47" s="1"/>
  <c r="L46" i="47" s="1"/>
  <c r="Y49" i="4" s="1"/>
  <c r="H54" i="47"/>
  <c r="I54" i="47" s="1"/>
  <c r="L54" i="47" s="1"/>
  <c r="Y57" i="4" s="1"/>
  <c r="H62" i="47"/>
  <c r="I62" i="47" s="1"/>
  <c r="L62" i="47" s="1"/>
  <c r="Y65" i="4" s="1"/>
  <c r="H70" i="47"/>
  <c r="I70" i="47" s="1"/>
  <c r="L70" i="47" s="1"/>
  <c r="Y73" i="4" s="1"/>
  <c r="H78" i="47"/>
  <c r="H86" i="47"/>
  <c r="I86" i="47" s="1"/>
  <c r="L86" i="47" s="1"/>
  <c r="Y89" i="4" s="1"/>
  <c r="H94" i="47"/>
  <c r="I94" i="47" s="1"/>
  <c r="L94" i="47" s="1"/>
  <c r="Y97" i="4" s="1"/>
  <c r="H102" i="47"/>
  <c r="I102" i="47" s="1"/>
  <c r="L102" i="47" s="1"/>
  <c r="Y105" i="4" s="1"/>
  <c r="H110" i="47"/>
  <c r="H118" i="47"/>
  <c r="I118" i="47" s="1"/>
  <c r="L118" i="47" s="1"/>
  <c r="Y121" i="4" s="1"/>
  <c r="H126" i="47"/>
  <c r="I126" i="47" s="1"/>
  <c r="L126" i="47" s="1"/>
  <c r="Y129" i="4" s="1"/>
  <c r="H134" i="47"/>
  <c r="I134" i="47" s="1"/>
  <c r="L134" i="47" s="1"/>
  <c r="Y137" i="4" s="1"/>
  <c r="H142" i="47"/>
  <c r="I142" i="47" s="1"/>
  <c r="L142" i="47" s="1"/>
  <c r="Y145" i="4" s="1"/>
  <c r="H150" i="47"/>
  <c r="I150" i="47" s="1"/>
  <c r="L150" i="47" s="1"/>
  <c r="Y153" i="4" s="1"/>
  <c r="H158" i="47"/>
  <c r="I158" i="47" s="1"/>
  <c r="L158" i="47" s="1"/>
  <c r="Y161" i="4" s="1"/>
  <c r="H166" i="47"/>
  <c r="H174" i="47"/>
  <c r="I174" i="47" s="1"/>
  <c r="L174" i="47" s="1"/>
  <c r="Y177" i="4" s="1"/>
  <c r="H95" i="47"/>
  <c r="I95" i="47" s="1"/>
  <c r="L95" i="47" s="1"/>
  <c r="Y98" i="4" s="1"/>
  <c r="H167" i="47"/>
  <c r="I167" i="47" s="1"/>
  <c r="L167" i="47" s="1"/>
  <c r="Y170" i="4" s="1"/>
  <c r="H15" i="47"/>
  <c r="I15" i="47" s="1"/>
  <c r="L15" i="47" s="1"/>
  <c r="Y18" i="4" s="1"/>
  <c r="H23" i="47"/>
  <c r="I23" i="47" s="1"/>
  <c r="L23" i="47" s="1"/>
  <c r="Y26" i="4" s="1"/>
  <c r="H31" i="47"/>
  <c r="I31" i="47" s="1"/>
  <c r="L31" i="47" s="1"/>
  <c r="Y34" i="4" s="1"/>
  <c r="H39" i="47"/>
  <c r="I39" i="47" s="1"/>
  <c r="L39" i="47" s="1"/>
  <c r="Y42" i="4" s="1"/>
  <c r="H47" i="47"/>
  <c r="I47" i="47" s="1"/>
  <c r="L47" i="47" s="1"/>
  <c r="Y50" i="4" s="1"/>
  <c r="H55" i="47"/>
  <c r="I55" i="47" s="1"/>
  <c r="L55" i="47" s="1"/>
  <c r="Y58" i="4" s="1"/>
  <c r="H63" i="47"/>
  <c r="I63" i="47" s="1"/>
  <c r="L63" i="47" s="1"/>
  <c r="Y66" i="4" s="1"/>
  <c r="H71" i="47"/>
  <c r="I71" i="47" s="1"/>
  <c r="L71" i="47" s="1"/>
  <c r="Y74" i="4" s="1"/>
  <c r="H79" i="47"/>
  <c r="I79" i="47" s="1"/>
  <c r="L79" i="47" s="1"/>
  <c r="Y82" i="4" s="1"/>
  <c r="H87" i="47"/>
  <c r="I87" i="47" s="1"/>
  <c r="L87" i="47" s="1"/>
  <c r="Y90" i="4" s="1"/>
  <c r="H103" i="47"/>
  <c r="I103" i="47" s="1"/>
  <c r="L103" i="47" s="1"/>
  <c r="Y106" i="4" s="1"/>
  <c r="H111" i="47"/>
  <c r="I111" i="47" s="1"/>
  <c r="L111" i="47" s="1"/>
  <c r="Y114" i="4" s="1"/>
  <c r="H119" i="47"/>
  <c r="I119" i="47" s="1"/>
  <c r="L119" i="47" s="1"/>
  <c r="Y122" i="4" s="1"/>
  <c r="H127" i="47"/>
  <c r="I127" i="47" s="1"/>
  <c r="L127" i="47" s="1"/>
  <c r="Y130" i="4" s="1"/>
  <c r="H135" i="47"/>
  <c r="I135" i="47" s="1"/>
  <c r="L135" i="47" s="1"/>
  <c r="Y138" i="4" s="1"/>
  <c r="H143" i="47"/>
  <c r="H151" i="47"/>
  <c r="H159" i="47"/>
  <c r="H175" i="47"/>
  <c r="I175" i="47" s="1"/>
  <c r="L175" i="47" s="1"/>
  <c r="Y178" i="4" s="1"/>
  <c r="H5" i="47"/>
  <c r="I5" i="47" s="1"/>
  <c r="L5" i="47" s="1"/>
  <c r="Y8" i="4" s="1"/>
  <c r="H8" i="47"/>
  <c r="H16" i="47"/>
  <c r="H24" i="47"/>
  <c r="I24" i="47" s="1"/>
  <c r="L24" i="47" s="1"/>
  <c r="Y27" i="4" s="1"/>
  <c r="H32" i="47"/>
  <c r="I32" i="47" s="1"/>
  <c r="L32" i="47" s="1"/>
  <c r="Y35" i="4" s="1"/>
  <c r="H40" i="47"/>
  <c r="I40" i="47" s="1"/>
  <c r="L40" i="47" s="1"/>
  <c r="Y43" i="4" s="1"/>
  <c r="H48" i="47"/>
  <c r="H56" i="47"/>
  <c r="I56" i="47" s="1"/>
  <c r="L56" i="47" s="1"/>
  <c r="Y59" i="4" s="1"/>
  <c r="H64" i="47"/>
  <c r="I64" i="47" s="1"/>
  <c r="L64" i="47" s="1"/>
  <c r="Y67" i="4" s="1"/>
  <c r="H72" i="47"/>
  <c r="H80" i="47"/>
  <c r="I80" i="47" s="1"/>
  <c r="L80" i="47" s="1"/>
  <c r="Y83" i="4" s="1"/>
  <c r="H88" i="47"/>
  <c r="I88" i="47" s="1"/>
  <c r="L88" i="47" s="1"/>
  <c r="Y91" i="4" s="1"/>
  <c r="H96" i="47"/>
  <c r="I96" i="47" s="1"/>
  <c r="L96" i="47" s="1"/>
  <c r="Y99" i="4" s="1"/>
  <c r="H104" i="47"/>
  <c r="H112" i="47"/>
  <c r="I112" i="47" s="1"/>
  <c r="L112" i="47" s="1"/>
  <c r="Y115" i="4" s="1"/>
  <c r="H120" i="47"/>
  <c r="I120" i="47" s="1"/>
  <c r="L120" i="47" s="1"/>
  <c r="Y123" i="4" s="1"/>
  <c r="H128" i="47"/>
  <c r="H136" i="47"/>
  <c r="I136" i="47" s="1"/>
  <c r="L136" i="47" s="1"/>
  <c r="Y139" i="4" s="1"/>
  <c r="H144" i="47"/>
  <c r="H152" i="47"/>
  <c r="I152" i="47" s="1"/>
  <c r="L152" i="47" s="1"/>
  <c r="Y155" i="4" s="1"/>
  <c r="H160" i="47"/>
  <c r="I160" i="47" s="1"/>
  <c r="L160" i="47" s="1"/>
  <c r="Y163" i="4" s="1"/>
  <c r="H168" i="47"/>
  <c r="H176" i="47"/>
  <c r="H6" i="47"/>
  <c r="I6" i="47" s="1"/>
  <c r="L6" i="47" s="1"/>
  <c r="Y9" i="4" s="1"/>
  <c r="H45" i="47"/>
  <c r="I45" i="47" s="1"/>
  <c r="L45" i="47" s="1"/>
  <c r="Y48" i="4" s="1"/>
  <c r="H61" i="47"/>
  <c r="H85" i="47"/>
  <c r="H125" i="47"/>
  <c r="I125" i="47" s="1"/>
  <c r="L125" i="47" s="1"/>
  <c r="Y128" i="4" s="1"/>
  <c r="H149" i="47"/>
  <c r="I149" i="47" s="1"/>
  <c r="L149" i="47" s="1"/>
  <c r="Y152" i="4" s="1"/>
  <c r="H9" i="47"/>
  <c r="I9" i="47" s="1"/>
  <c r="L9" i="47" s="1"/>
  <c r="Y12" i="4" s="1"/>
  <c r="H17" i="47"/>
  <c r="I17" i="47" s="1"/>
  <c r="L17" i="47" s="1"/>
  <c r="Y20" i="4" s="1"/>
  <c r="H25" i="47"/>
  <c r="I25" i="47" s="1"/>
  <c r="L25" i="47" s="1"/>
  <c r="Y28" i="4" s="1"/>
  <c r="H33" i="47"/>
  <c r="I33" i="47" s="1"/>
  <c r="L33" i="47" s="1"/>
  <c r="Y36" i="4" s="1"/>
  <c r="H41" i="47"/>
  <c r="I41" i="47" s="1"/>
  <c r="L41" i="47" s="1"/>
  <c r="Y44" i="4" s="1"/>
  <c r="H49" i="47"/>
  <c r="H57" i="47"/>
  <c r="I57" i="47" s="1"/>
  <c r="L57" i="47" s="1"/>
  <c r="Y60" i="4" s="1"/>
  <c r="H65" i="47"/>
  <c r="I65" i="47" s="1"/>
  <c r="L65" i="47" s="1"/>
  <c r="Y68" i="4" s="1"/>
  <c r="H73" i="47"/>
  <c r="I73" i="47" s="1"/>
  <c r="L73" i="47" s="1"/>
  <c r="Y76" i="4" s="1"/>
  <c r="H81" i="47"/>
  <c r="H89" i="47"/>
  <c r="I89" i="47" s="1"/>
  <c r="L89" i="47" s="1"/>
  <c r="Y92" i="4" s="1"/>
  <c r="H97" i="47"/>
  <c r="I97" i="47" s="1"/>
  <c r="L97" i="47" s="1"/>
  <c r="Y100" i="4" s="1"/>
  <c r="H105" i="47"/>
  <c r="I105" i="47" s="1"/>
  <c r="L105" i="47" s="1"/>
  <c r="Y108" i="4" s="1"/>
  <c r="H113" i="47"/>
  <c r="H121" i="47"/>
  <c r="I121" i="47" s="1"/>
  <c r="L121" i="47" s="1"/>
  <c r="Y124" i="4" s="1"/>
  <c r="H129" i="47"/>
  <c r="I129" i="47" s="1"/>
  <c r="L129" i="47" s="1"/>
  <c r="Y132" i="4" s="1"/>
  <c r="H137" i="47"/>
  <c r="I137" i="47" s="1"/>
  <c r="L137" i="47" s="1"/>
  <c r="Y140" i="4" s="1"/>
  <c r="H145" i="47"/>
  <c r="I145" i="47" s="1"/>
  <c r="L145" i="47" s="1"/>
  <c r="Y148" i="4" s="1"/>
  <c r="H153" i="47"/>
  <c r="I153" i="47" s="1"/>
  <c r="L153" i="47" s="1"/>
  <c r="Y156" i="4" s="1"/>
  <c r="H161" i="47"/>
  <c r="I161" i="47" s="1"/>
  <c r="L161" i="47" s="1"/>
  <c r="Y164" i="4" s="1"/>
  <c r="H169" i="47"/>
  <c r="I169" i="47" s="1"/>
  <c r="L169" i="47" s="1"/>
  <c r="Y172" i="4" s="1"/>
  <c r="H177" i="47"/>
  <c r="H7" i="47"/>
  <c r="I7" i="47" s="1"/>
  <c r="L7" i="47" s="1"/>
  <c r="Y10" i="4" s="1"/>
  <c r="H37" i="47"/>
  <c r="I37" i="47" s="1"/>
  <c r="L37" i="47" s="1"/>
  <c r="Y40" i="4" s="1"/>
  <c r="H69" i="47"/>
  <c r="I69" i="47" s="1"/>
  <c r="L69" i="47" s="1"/>
  <c r="Y72" i="4" s="1"/>
  <c r="H109" i="47"/>
  <c r="I109" i="47" s="1"/>
  <c r="L109" i="47" s="1"/>
  <c r="Y112" i="4" s="1"/>
  <c r="H141" i="47"/>
  <c r="I141" i="47" s="1"/>
  <c r="L141" i="47" s="1"/>
  <c r="Y144" i="4" s="1"/>
  <c r="H181" i="47"/>
  <c r="I181" i="47" s="1"/>
  <c r="L181" i="47" s="1"/>
  <c r="Y184" i="4" s="1"/>
  <c r="H10" i="47"/>
  <c r="I10" i="47" s="1"/>
  <c r="L10" i="47" s="1"/>
  <c r="Y13" i="4" s="1"/>
  <c r="H18" i="47"/>
  <c r="I18" i="47" s="1"/>
  <c r="L18" i="47" s="1"/>
  <c r="Y21" i="4" s="1"/>
  <c r="H26" i="47"/>
  <c r="I26" i="47" s="1"/>
  <c r="L26" i="47" s="1"/>
  <c r="Y29" i="4" s="1"/>
  <c r="H34" i="47"/>
  <c r="I34" i="47" s="1"/>
  <c r="L34" i="47" s="1"/>
  <c r="Y37" i="4" s="1"/>
  <c r="H42" i="47"/>
  <c r="I42" i="47" s="1"/>
  <c r="L42" i="47" s="1"/>
  <c r="Y45" i="4" s="1"/>
  <c r="H50" i="47"/>
  <c r="H58" i="47"/>
  <c r="I58" i="47" s="1"/>
  <c r="L58" i="47" s="1"/>
  <c r="Y61" i="4" s="1"/>
  <c r="H66" i="47"/>
  <c r="I66" i="47" s="1"/>
  <c r="L66" i="47" s="1"/>
  <c r="Y69" i="4" s="1"/>
  <c r="H74" i="47"/>
  <c r="I74" i="47" s="1"/>
  <c r="L74" i="47" s="1"/>
  <c r="Y77" i="4" s="1"/>
  <c r="H82" i="47"/>
  <c r="H90" i="47"/>
  <c r="I90" i="47" s="1"/>
  <c r="L90" i="47" s="1"/>
  <c r="Y93" i="4" s="1"/>
  <c r="H98" i="47"/>
  <c r="I98" i="47" s="1"/>
  <c r="L98" i="47" s="1"/>
  <c r="Y101" i="4" s="1"/>
  <c r="H106" i="47"/>
  <c r="H114" i="47"/>
  <c r="I114" i="47" s="1"/>
  <c r="L114" i="47" s="1"/>
  <c r="Y117" i="4" s="1"/>
  <c r="H122" i="47"/>
  <c r="I122" i="47" s="1"/>
  <c r="L122" i="47" s="1"/>
  <c r="Y125" i="4" s="1"/>
  <c r="H130" i="47"/>
  <c r="I130" i="47" s="1"/>
  <c r="L130" i="47" s="1"/>
  <c r="Y133" i="4" s="1"/>
  <c r="H138" i="47"/>
  <c r="I138" i="47" s="1"/>
  <c r="L138" i="47" s="1"/>
  <c r="Y141" i="4" s="1"/>
  <c r="H146" i="47"/>
  <c r="I146" i="47" s="1"/>
  <c r="L146" i="47" s="1"/>
  <c r="Y149" i="4" s="1"/>
  <c r="H154" i="47"/>
  <c r="I154" i="47" s="1"/>
  <c r="L154" i="47" s="1"/>
  <c r="Y157" i="4" s="1"/>
  <c r="H162" i="47"/>
  <c r="I162" i="47" s="1"/>
  <c r="L162" i="47" s="1"/>
  <c r="Y165" i="4" s="1"/>
  <c r="H170" i="47"/>
  <c r="H178" i="47"/>
  <c r="H4" i="47"/>
  <c r="I4" i="47" s="1"/>
  <c r="L4" i="47" s="1"/>
  <c r="Y7" i="4" s="1"/>
  <c r="H29" i="47"/>
  <c r="I29" i="47" s="1"/>
  <c r="L29" i="47" s="1"/>
  <c r="Y32" i="4" s="1"/>
  <c r="H77" i="47"/>
  <c r="I77" i="47" s="1"/>
  <c r="L77" i="47" s="1"/>
  <c r="Y80" i="4" s="1"/>
  <c r="H117" i="47"/>
  <c r="H157" i="47"/>
  <c r="I157" i="47" s="1"/>
  <c r="L157" i="47" s="1"/>
  <c r="Y160" i="4" s="1"/>
  <c r="H11" i="47"/>
  <c r="I11" i="47" s="1"/>
  <c r="L11" i="47" s="1"/>
  <c r="Y14" i="4" s="1"/>
  <c r="H19" i="47"/>
  <c r="H27" i="47"/>
  <c r="I27" i="47" s="1"/>
  <c r="L27" i="47" s="1"/>
  <c r="Y30" i="4" s="1"/>
  <c r="H35" i="47"/>
  <c r="I35" i="47" s="1"/>
  <c r="L35" i="47" s="1"/>
  <c r="Y38" i="4" s="1"/>
  <c r="H43" i="47"/>
  <c r="I43" i="47" s="1"/>
  <c r="L43" i="47" s="1"/>
  <c r="Y46" i="4" s="1"/>
  <c r="H51" i="47"/>
  <c r="I51" i="47" s="1"/>
  <c r="L51" i="47" s="1"/>
  <c r="Y54" i="4" s="1"/>
  <c r="H59" i="47"/>
  <c r="H67" i="47"/>
  <c r="I67" i="47" s="1"/>
  <c r="L67" i="47" s="1"/>
  <c r="Y70" i="4" s="1"/>
  <c r="H75" i="47"/>
  <c r="I75" i="47" s="1"/>
  <c r="L75" i="47" s="1"/>
  <c r="Y78" i="4" s="1"/>
  <c r="H83" i="47"/>
  <c r="I83" i="47" s="1"/>
  <c r="L83" i="47" s="1"/>
  <c r="Y86" i="4" s="1"/>
  <c r="H91" i="47"/>
  <c r="H99" i="47"/>
  <c r="I99" i="47" s="1"/>
  <c r="L99" i="47" s="1"/>
  <c r="Y102" i="4" s="1"/>
  <c r="H107" i="47"/>
  <c r="I107" i="47" s="1"/>
  <c r="L107" i="47" s="1"/>
  <c r="Y110" i="4" s="1"/>
  <c r="H115" i="47"/>
  <c r="I115" i="47" s="1"/>
  <c r="L115" i="47" s="1"/>
  <c r="Y118" i="4" s="1"/>
  <c r="H123" i="47"/>
  <c r="I123" i="47" s="1"/>
  <c r="L123" i="47" s="1"/>
  <c r="Y126" i="4" s="1"/>
  <c r="H131" i="47"/>
  <c r="I131" i="47" s="1"/>
  <c r="L131" i="47" s="1"/>
  <c r="Y134" i="4" s="1"/>
  <c r="H139" i="47"/>
  <c r="I139" i="47" s="1"/>
  <c r="L139" i="47" s="1"/>
  <c r="Y142" i="4" s="1"/>
  <c r="H147" i="47"/>
  <c r="I147" i="47" s="1"/>
  <c r="L147" i="47" s="1"/>
  <c r="Y150" i="4" s="1"/>
  <c r="H155" i="47"/>
  <c r="H163" i="47"/>
  <c r="I163" i="47" s="1"/>
  <c r="L163" i="47" s="1"/>
  <c r="Y166" i="4" s="1"/>
  <c r="H171" i="47"/>
  <c r="I171" i="47" s="1"/>
  <c r="L171" i="47" s="1"/>
  <c r="Y174" i="4" s="1"/>
  <c r="H179" i="47"/>
  <c r="I179" i="47" s="1"/>
  <c r="L179" i="47" s="1"/>
  <c r="Y182" i="4" s="1"/>
  <c r="H3" i="47"/>
  <c r="H21" i="47"/>
  <c r="I21" i="47" s="1"/>
  <c r="L21" i="47" s="1"/>
  <c r="Y24" i="4" s="1"/>
  <c r="H53" i="47"/>
  <c r="I53" i="47" s="1"/>
  <c r="L53" i="47" s="1"/>
  <c r="Y56" i="4" s="1"/>
  <c r="H93" i="47"/>
  <c r="H133" i="47"/>
  <c r="I133" i="47" s="1"/>
  <c r="L133" i="47" s="1"/>
  <c r="Y136" i="4" s="1"/>
  <c r="H173" i="47"/>
  <c r="I173" i="47" s="1"/>
  <c r="L173" i="47" s="1"/>
  <c r="Y176" i="4" s="1"/>
  <c r="H12" i="47"/>
  <c r="I12" i="47" s="1"/>
  <c r="L12" i="47" s="1"/>
  <c r="Y15" i="4" s="1"/>
  <c r="H20" i="47"/>
  <c r="I20" i="47" s="1"/>
  <c r="L20" i="47" s="1"/>
  <c r="Y23" i="4" s="1"/>
  <c r="H28" i="47"/>
  <c r="I28" i="47" s="1"/>
  <c r="L28" i="47" s="1"/>
  <c r="Y31" i="4" s="1"/>
  <c r="H36" i="47"/>
  <c r="I36" i="47" s="1"/>
  <c r="L36" i="47" s="1"/>
  <c r="Y39" i="4" s="1"/>
  <c r="H44" i="47"/>
  <c r="I44" i="47" s="1"/>
  <c r="L44" i="47" s="1"/>
  <c r="Y47" i="4" s="1"/>
  <c r="H52" i="47"/>
  <c r="I52" i="47" s="1"/>
  <c r="L52" i="47" s="1"/>
  <c r="Y55" i="4" s="1"/>
  <c r="H60" i="47"/>
  <c r="I60" i="47" s="1"/>
  <c r="L60" i="47" s="1"/>
  <c r="Y63" i="4" s="1"/>
  <c r="H68" i="47"/>
  <c r="I68" i="47" s="1"/>
  <c r="L68" i="47" s="1"/>
  <c r="Y71" i="4" s="1"/>
  <c r="H76" i="47"/>
  <c r="I76" i="47" s="1"/>
  <c r="L76" i="47" s="1"/>
  <c r="Y79" i="4" s="1"/>
  <c r="H84" i="47"/>
  <c r="I84" i="47" s="1"/>
  <c r="L84" i="47" s="1"/>
  <c r="Y87" i="4" s="1"/>
  <c r="H92" i="47"/>
  <c r="H100" i="47"/>
  <c r="I100" i="47" s="1"/>
  <c r="L100" i="47" s="1"/>
  <c r="Y103" i="4" s="1"/>
  <c r="H108" i="47"/>
  <c r="I108" i="47" s="1"/>
  <c r="L108" i="47" s="1"/>
  <c r="Y111" i="4" s="1"/>
  <c r="H116" i="47"/>
  <c r="I116" i="47" s="1"/>
  <c r="L116" i="47" s="1"/>
  <c r="Y119" i="4" s="1"/>
  <c r="H124" i="47"/>
  <c r="I124" i="47" s="1"/>
  <c r="L124" i="47" s="1"/>
  <c r="Y127" i="4" s="1"/>
  <c r="H132" i="47"/>
  <c r="I132" i="47" s="1"/>
  <c r="L132" i="47" s="1"/>
  <c r="Y135" i="4" s="1"/>
  <c r="H140" i="47"/>
  <c r="I140" i="47" s="1"/>
  <c r="L140" i="47" s="1"/>
  <c r="Y143" i="4" s="1"/>
  <c r="H148" i="47"/>
  <c r="I148" i="47" s="1"/>
  <c r="L148" i="47" s="1"/>
  <c r="Y151" i="4" s="1"/>
  <c r="H156" i="47"/>
  <c r="I156" i="47" s="1"/>
  <c r="L156" i="47" s="1"/>
  <c r="Y159" i="4" s="1"/>
  <c r="H164" i="47"/>
  <c r="I164" i="47" s="1"/>
  <c r="L164" i="47" s="1"/>
  <c r="Y167" i="4" s="1"/>
  <c r="H172" i="47"/>
  <c r="I172" i="47" s="1"/>
  <c r="L172" i="47" s="1"/>
  <c r="Y175" i="4" s="1"/>
  <c r="H180" i="47"/>
  <c r="I180" i="47" s="1"/>
  <c r="L180" i="47" s="1"/>
  <c r="Y183" i="4" s="1"/>
  <c r="H13" i="47"/>
  <c r="I13" i="47" s="1"/>
  <c r="L13" i="47" s="1"/>
  <c r="Y16" i="4" s="1"/>
  <c r="H101" i="47"/>
  <c r="I101" i="47" s="1"/>
  <c r="L101" i="47" s="1"/>
  <c r="Y104" i="4" s="1"/>
  <c r="H165" i="47"/>
  <c r="I165" i="47" s="1"/>
  <c r="L165" i="47" s="1"/>
  <c r="Y168" i="4" s="1"/>
  <c r="H10" i="45"/>
  <c r="H18" i="45"/>
  <c r="H26" i="45"/>
  <c r="H34" i="45"/>
  <c r="H42" i="45"/>
  <c r="H50" i="45"/>
  <c r="H58" i="45"/>
  <c r="I58" i="45" s="1"/>
  <c r="L58" i="45" s="1"/>
  <c r="V61" i="4" s="1"/>
  <c r="H66" i="45"/>
  <c r="H74" i="45"/>
  <c r="H82" i="45"/>
  <c r="H90" i="45"/>
  <c r="H98" i="45"/>
  <c r="H106" i="45"/>
  <c r="H114" i="45"/>
  <c r="H122" i="45"/>
  <c r="I122" i="45" s="1"/>
  <c r="L122" i="45" s="1"/>
  <c r="V125" i="4" s="1"/>
  <c r="H130" i="45"/>
  <c r="H138" i="45"/>
  <c r="H146" i="45"/>
  <c r="H154" i="45"/>
  <c r="H162" i="45"/>
  <c r="H170" i="45"/>
  <c r="H178" i="45"/>
  <c r="I178" i="45" s="1"/>
  <c r="L178" i="45" s="1"/>
  <c r="V181" i="4" s="1"/>
  <c r="H49" i="45"/>
  <c r="H65" i="45"/>
  <c r="H73" i="45"/>
  <c r="H113" i="45"/>
  <c r="H137" i="45"/>
  <c r="H161" i="45"/>
  <c r="H11" i="45"/>
  <c r="H19" i="45"/>
  <c r="I19" i="45" s="1"/>
  <c r="L19" i="45" s="1"/>
  <c r="V22" i="4" s="1"/>
  <c r="H27" i="45"/>
  <c r="I27" i="45" s="1"/>
  <c r="L27" i="45" s="1"/>
  <c r="V30" i="4" s="1"/>
  <c r="H35" i="45"/>
  <c r="H43" i="45"/>
  <c r="H51" i="45"/>
  <c r="H59" i="45"/>
  <c r="H67" i="45"/>
  <c r="H75" i="45"/>
  <c r="H83" i="45"/>
  <c r="I83" i="45" s="1"/>
  <c r="L83" i="45" s="1"/>
  <c r="V86" i="4" s="1"/>
  <c r="H91" i="45"/>
  <c r="I91" i="45" s="1"/>
  <c r="L91" i="45" s="1"/>
  <c r="V94" i="4" s="1"/>
  <c r="H99" i="45"/>
  <c r="H107" i="45"/>
  <c r="H115" i="45"/>
  <c r="H123" i="45"/>
  <c r="H131" i="45"/>
  <c r="H139" i="45"/>
  <c r="H147" i="45"/>
  <c r="I147" i="45" s="1"/>
  <c r="L147" i="45" s="1"/>
  <c r="V150" i="4" s="1"/>
  <c r="H155" i="45"/>
  <c r="I155" i="45" s="1"/>
  <c r="L155" i="45" s="1"/>
  <c r="V158" i="4" s="1"/>
  <c r="H163" i="45"/>
  <c r="H171" i="45"/>
  <c r="H179" i="45"/>
  <c r="H57" i="45"/>
  <c r="H4" i="45"/>
  <c r="H12" i="45"/>
  <c r="H20" i="45"/>
  <c r="I20" i="45" s="1"/>
  <c r="L20" i="45" s="1"/>
  <c r="V23" i="4" s="1"/>
  <c r="H28" i="45"/>
  <c r="I28" i="45" s="1"/>
  <c r="L28" i="45" s="1"/>
  <c r="V31" i="4" s="1"/>
  <c r="H36" i="45"/>
  <c r="H44" i="45"/>
  <c r="H52" i="45"/>
  <c r="H60" i="45"/>
  <c r="H68" i="45"/>
  <c r="H76" i="45"/>
  <c r="H84" i="45"/>
  <c r="I84" i="45" s="1"/>
  <c r="L84" i="45" s="1"/>
  <c r="V87" i="4" s="1"/>
  <c r="H92" i="45"/>
  <c r="I92" i="45" s="1"/>
  <c r="L92" i="45" s="1"/>
  <c r="V95" i="4" s="1"/>
  <c r="H100" i="45"/>
  <c r="H108" i="45"/>
  <c r="H116" i="45"/>
  <c r="H124" i="45"/>
  <c r="H132" i="45"/>
  <c r="H140" i="45"/>
  <c r="H148" i="45"/>
  <c r="I148" i="45" s="1"/>
  <c r="L148" i="45" s="1"/>
  <c r="V151" i="4" s="1"/>
  <c r="H156" i="45"/>
  <c r="I156" i="45" s="1"/>
  <c r="L156" i="45" s="1"/>
  <c r="V159" i="4" s="1"/>
  <c r="H164" i="45"/>
  <c r="H172" i="45"/>
  <c r="H180" i="45"/>
  <c r="H41" i="45"/>
  <c r="H81" i="45"/>
  <c r="H129" i="45"/>
  <c r="H169" i="45"/>
  <c r="I169" i="45" s="1"/>
  <c r="L169" i="45" s="1"/>
  <c r="V172" i="4" s="1"/>
  <c r="H5" i="45"/>
  <c r="I5" i="45" s="1"/>
  <c r="L5" i="45" s="1"/>
  <c r="V8" i="4" s="1"/>
  <c r="H13" i="45"/>
  <c r="H21" i="45"/>
  <c r="H29" i="45"/>
  <c r="H37" i="45"/>
  <c r="H45" i="45"/>
  <c r="H53" i="45"/>
  <c r="H61" i="45"/>
  <c r="H69" i="45"/>
  <c r="I69" i="45" s="1"/>
  <c r="L69" i="45" s="1"/>
  <c r="V72" i="4" s="1"/>
  <c r="H77" i="45"/>
  <c r="H85" i="45"/>
  <c r="H93" i="45"/>
  <c r="H101" i="45"/>
  <c r="H109" i="45"/>
  <c r="H117" i="45"/>
  <c r="H125" i="45"/>
  <c r="I125" i="45" s="1"/>
  <c r="L125" i="45" s="1"/>
  <c r="V128" i="4" s="1"/>
  <c r="H133" i="45"/>
  <c r="I133" i="45" s="1"/>
  <c r="L133" i="45" s="1"/>
  <c r="V136" i="4" s="1"/>
  <c r="H141" i="45"/>
  <c r="H149" i="45"/>
  <c r="H157" i="45"/>
  <c r="H165" i="45"/>
  <c r="H173" i="45"/>
  <c r="H181" i="45"/>
  <c r="H33" i="45"/>
  <c r="I33" i="45" s="1"/>
  <c r="L33" i="45" s="1"/>
  <c r="V36" i="4" s="1"/>
  <c r="H89" i="45"/>
  <c r="I89" i="45" s="1"/>
  <c r="L89" i="45" s="1"/>
  <c r="V92" i="4" s="1"/>
  <c r="H145" i="45"/>
  <c r="H6" i="45"/>
  <c r="H14" i="45"/>
  <c r="H22" i="45"/>
  <c r="H30" i="45"/>
  <c r="H38" i="45"/>
  <c r="H46" i="45"/>
  <c r="I46" i="45" s="1"/>
  <c r="L46" i="45" s="1"/>
  <c r="V49" i="4" s="1"/>
  <c r="H54" i="45"/>
  <c r="I54" i="45" s="1"/>
  <c r="L54" i="45" s="1"/>
  <c r="V57" i="4" s="1"/>
  <c r="H62" i="45"/>
  <c r="H70" i="45"/>
  <c r="H78" i="45"/>
  <c r="H86" i="45"/>
  <c r="H94" i="45"/>
  <c r="H102" i="45"/>
  <c r="H110" i="45"/>
  <c r="I110" i="45" s="1"/>
  <c r="L110" i="45" s="1"/>
  <c r="V113" i="4" s="1"/>
  <c r="H118" i="45"/>
  <c r="I118" i="45" s="1"/>
  <c r="L118" i="45" s="1"/>
  <c r="V121" i="4" s="1"/>
  <c r="H126" i="45"/>
  <c r="H134" i="45"/>
  <c r="H142" i="45"/>
  <c r="H150" i="45"/>
  <c r="H158" i="45"/>
  <c r="H166" i="45"/>
  <c r="H174" i="45"/>
  <c r="I174" i="45" s="1"/>
  <c r="L174" i="45" s="1"/>
  <c r="V177" i="4" s="1"/>
  <c r="H182" i="45"/>
  <c r="I182" i="45" s="1"/>
  <c r="L182" i="45" s="1"/>
  <c r="V185" i="4" s="1"/>
  <c r="H25" i="45"/>
  <c r="H97" i="45"/>
  <c r="H153" i="45"/>
  <c r="H7" i="45"/>
  <c r="H15" i="45"/>
  <c r="H23" i="45"/>
  <c r="H31" i="45"/>
  <c r="I31" i="45" s="1"/>
  <c r="L31" i="45" s="1"/>
  <c r="V34" i="4" s="1"/>
  <c r="H39" i="45"/>
  <c r="H47" i="45"/>
  <c r="H55" i="45"/>
  <c r="H63" i="45"/>
  <c r="H71" i="45"/>
  <c r="H79" i="45"/>
  <c r="H87" i="45"/>
  <c r="H95" i="45"/>
  <c r="I95" i="45" s="1"/>
  <c r="L95" i="45" s="1"/>
  <c r="V98" i="4" s="1"/>
  <c r="H103" i="45"/>
  <c r="H111" i="45"/>
  <c r="H119" i="45"/>
  <c r="H127" i="45"/>
  <c r="H135" i="45"/>
  <c r="H143" i="45"/>
  <c r="H151" i="45"/>
  <c r="H159" i="45"/>
  <c r="I159" i="45" s="1"/>
  <c r="L159" i="45" s="1"/>
  <c r="V162" i="4" s="1"/>
  <c r="H167" i="45"/>
  <c r="I167" i="45" s="1"/>
  <c r="L167" i="45" s="1"/>
  <c r="V170" i="4" s="1"/>
  <c r="H175" i="45"/>
  <c r="H3" i="45"/>
  <c r="H17" i="45"/>
  <c r="H105" i="45"/>
  <c r="H8" i="45"/>
  <c r="H16" i="45"/>
  <c r="I16" i="45" s="1"/>
  <c r="L16" i="45" s="1"/>
  <c r="V19" i="4" s="1"/>
  <c r="H24" i="45"/>
  <c r="H32" i="45"/>
  <c r="H40" i="45"/>
  <c r="H48" i="45"/>
  <c r="H56" i="45"/>
  <c r="H64" i="45"/>
  <c r="H72" i="45"/>
  <c r="H80" i="45"/>
  <c r="I80" i="45" s="1"/>
  <c r="L80" i="45" s="1"/>
  <c r="V83" i="4" s="1"/>
  <c r="H88" i="45"/>
  <c r="H96" i="45"/>
  <c r="H104" i="45"/>
  <c r="H112" i="45"/>
  <c r="H120" i="45"/>
  <c r="H128" i="45"/>
  <c r="H136" i="45"/>
  <c r="H144" i="45"/>
  <c r="I144" i="45" s="1"/>
  <c r="L144" i="45" s="1"/>
  <c r="V147" i="4" s="1"/>
  <c r="H152" i="45"/>
  <c r="I152" i="45" s="1"/>
  <c r="L152" i="45" s="1"/>
  <c r="V155" i="4" s="1"/>
  <c r="H160" i="45"/>
  <c r="H168" i="45"/>
  <c r="H176" i="45"/>
  <c r="H9" i="45"/>
  <c r="H121" i="45"/>
  <c r="I1" i="45"/>
  <c r="I1" i="44"/>
  <c r="I76" i="43"/>
  <c r="L76" i="43" s="1"/>
  <c r="P79" i="4" s="1"/>
  <c r="I142" i="43"/>
  <c r="L142" i="43" s="1"/>
  <c r="P145" i="4" s="1"/>
  <c r="I60" i="43"/>
  <c r="L60" i="43" s="1"/>
  <c r="P63" i="4" s="1"/>
  <c r="I182" i="43"/>
  <c r="L182" i="43" s="1"/>
  <c r="P185" i="4" s="1"/>
  <c r="I133" i="43"/>
  <c r="L133" i="43" s="1"/>
  <c r="P136" i="4" s="1"/>
  <c r="I181" i="43"/>
  <c r="L181" i="43" s="1"/>
  <c r="P184" i="4" s="1"/>
  <c r="I102" i="43"/>
  <c r="L102" i="43" s="1"/>
  <c r="P105" i="4" s="1"/>
  <c r="I48" i="43"/>
  <c r="L48" i="43" s="1"/>
  <c r="P51" i="4" s="1"/>
  <c r="I61" i="43"/>
  <c r="L61" i="43" s="1"/>
  <c r="P64" i="4" s="1"/>
  <c r="I171" i="38"/>
  <c r="L171" i="38" s="1"/>
  <c r="D174" i="4" s="1"/>
  <c r="F174" i="4" s="1"/>
  <c r="I97" i="38"/>
  <c r="L97" i="38" s="1"/>
  <c r="D100" i="4" s="1"/>
  <c r="F100" i="4" s="1"/>
  <c r="I172" i="38"/>
  <c r="L172" i="38" s="1"/>
  <c r="D175" i="4" s="1"/>
  <c r="F175" i="4" s="1"/>
  <c r="I46" i="38"/>
  <c r="L46" i="38" s="1"/>
  <c r="I55" i="38"/>
  <c r="L55" i="38" s="1"/>
  <c r="I29" i="38"/>
  <c r="L29" i="38" s="1"/>
  <c r="D32" i="4" s="1"/>
  <c r="F32" i="4" s="1"/>
  <c r="I11" i="38"/>
  <c r="L11" i="38" s="1"/>
  <c r="D14" i="4" s="1"/>
  <c r="F14" i="4" s="1"/>
  <c r="I34" i="38"/>
  <c r="L34" i="38" s="1"/>
  <c r="D37" i="4" s="1"/>
  <c r="F37" i="4" s="1"/>
  <c r="I61" i="38"/>
  <c r="L61" i="38" s="1"/>
  <c r="I155" i="38"/>
  <c r="L155" i="38" s="1"/>
  <c r="I169" i="38"/>
  <c r="L169" i="38" s="1"/>
  <c r="D172" i="4" s="1"/>
  <c r="F172" i="4" s="1"/>
  <c r="I111" i="38"/>
  <c r="L111" i="38" s="1"/>
  <c r="D114" i="4" s="1"/>
  <c r="F114" i="4" s="1"/>
  <c r="I62" i="38"/>
  <c r="L62" i="38" s="1"/>
  <c r="D65" i="4" s="1"/>
  <c r="F65" i="4" s="1"/>
  <c r="I178" i="38"/>
  <c r="L178" i="38" s="1"/>
  <c r="D181" i="4" s="1"/>
  <c r="F181" i="4" s="1"/>
  <c r="I39" i="38"/>
  <c r="L39" i="38" s="1"/>
  <c r="D42" i="4" s="1"/>
  <c r="F42" i="4" s="1"/>
  <c r="I141" i="38"/>
  <c r="L141" i="38" s="1"/>
  <c r="D144" i="4" s="1"/>
  <c r="F144" i="4" s="1"/>
  <c r="I67" i="38"/>
  <c r="L67" i="38" s="1"/>
  <c r="D70" i="4" s="1"/>
  <c r="F70" i="4" s="1"/>
  <c r="I40" i="38"/>
  <c r="L40" i="38" s="1"/>
  <c r="D43" i="4" s="1"/>
  <c r="F43" i="4" s="1"/>
  <c r="I93" i="38"/>
  <c r="L93" i="38" s="1"/>
  <c r="D96" i="4" s="1"/>
  <c r="F96" i="4" s="1"/>
  <c r="I132" i="38"/>
  <c r="L132" i="38" s="1"/>
  <c r="D135" i="4" s="1"/>
  <c r="F135" i="4" s="1"/>
  <c r="I50" i="38"/>
  <c r="L50" i="38" s="1"/>
  <c r="D53" i="4" s="1"/>
  <c r="F53" i="4" s="1"/>
  <c r="I25" i="38"/>
  <c r="L25" i="38" s="1"/>
  <c r="D28" i="4" s="1"/>
  <c r="F28" i="4" s="1"/>
  <c r="I125" i="38"/>
  <c r="L125" i="38" s="1"/>
  <c r="D128" i="4" s="1"/>
  <c r="F128" i="4" s="1"/>
  <c r="I142" i="38"/>
  <c r="L142" i="38" s="1"/>
  <c r="D145" i="4" s="1"/>
  <c r="F145" i="4" s="1"/>
  <c r="I181" i="38"/>
  <c r="L181" i="38" s="1"/>
  <c r="D184" i="4" s="1"/>
  <c r="F184" i="4" s="1"/>
  <c r="I4" i="38"/>
  <c r="L4" i="38" s="1"/>
  <c r="D7" i="4" s="1"/>
  <c r="F7" i="4" s="1"/>
  <c r="I110" i="38"/>
  <c r="L110" i="38" s="1"/>
  <c r="D113" i="4" s="1"/>
  <c r="F113" i="4" s="1"/>
  <c r="I109" i="38"/>
  <c r="L109" i="38" s="1"/>
  <c r="D112" i="4" s="1"/>
  <c r="F112" i="4" s="1"/>
  <c r="I87" i="38"/>
  <c r="L87" i="38" s="1"/>
  <c r="D90" i="4" s="1"/>
  <c r="F90" i="4" s="1"/>
  <c r="I128" i="38"/>
  <c r="L128" i="38" s="1"/>
  <c r="D131" i="4" s="1"/>
  <c r="F131" i="4" s="1"/>
  <c r="I23" i="38"/>
  <c r="L23" i="38" s="1"/>
  <c r="D26" i="4" s="1"/>
  <c r="F26" i="4" s="1"/>
  <c r="I18" i="38"/>
  <c r="L18" i="38" s="1"/>
  <c r="I96" i="38"/>
  <c r="L96" i="38" s="1"/>
  <c r="D99" i="4" s="1"/>
  <c r="F99" i="4" s="1"/>
  <c r="I139" i="38"/>
  <c r="L139" i="38" s="1"/>
  <c r="D142" i="4" s="1"/>
  <c r="F142" i="4" s="1"/>
  <c r="I75" i="38"/>
  <c r="L75" i="38" s="1"/>
  <c r="D78" i="4" s="1"/>
  <c r="F78" i="4" s="1"/>
  <c r="I71" i="38"/>
  <c r="L71" i="38" s="1"/>
  <c r="D74" i="4" s="1"/>
  <c r="F74" i="4" s="1"/>
  <c r="I137" i="38"/>
  <c r="L137" i="38" s="1"/>
  <c r="D140" i="4" s="1"/>
  <c r="F140" i="4" s="1"/>
  <c r="I115" i="38"/>
  <c r="L115" i="38" s="1"/>
  <c r="D118" i="4" s="1"/>
  <c r="F118" i="4" s="1"/>
  <c r="I78" i="38"/>
  <c r="L78" i="38" s="1"/>
  <c r="D81" i="4" s="1"/>
  <c r="F81" i="4" s="1"/>
  <c r="I152" i="38"/>
  <c r="L152" i="38" s="1"/>
  <c r="D155" i="4" s="1"/>
  <c r="F155" i="4" s="1"/>
  <c r="I45" i="38"/>
  <c r="L45" i="38" s="1"/>
  <c r="D48" i="4" s="1"/>
  <c r="F48" i="4" s="1"/>
  <c r="I75" i="43"/>
  <c r="L75" i="43" s="1"/>
  <c r="P78" i="4" s="1"/>
  <c r="I94" i="43"/>
  <c r="L94" i="43" s="1"/>
  <c r="P97" i="4" s="1"/>
  <c r="I135" i="43"/>
  <c r="L135" i="43" s="1"/>
  <c r="P138" i="4" s="1"/>
  <c r="I173" i="43"/>
  <c r="L173" i="43" s="1"/>
  <c r="P176" i="4" s="1"/>
  <c r="I134" i="43"/>
  <c r="L134" i="43" s="1"/>
  <c r="P137" i="4" s="1"/>
  <c r="I45" i="43"/>
  <c r="L45" i="43" s="1"/>
  <c r="P48" i="4" s="1"/>
  <c r="I82" i="43"/>
  <c r="L82" i="43" s="1"/>
  <c r="P85" i="4" s="1"/>
  <c r="I120" i="43"/>
  <c r="L120" i="43" s="1"/>
  <c r="P123" i="4" s="1"/>
  <c r="G182" i="51"/>
  <c r="H180" i="51"/>
  <c r="H176" i="51"/>
  <c r="H172" i="51"/>
  <c r="H168" i="51"/>
  <c r="H164" i="51"/>
  <c r="H160" i="51"/>
  <c r="H156" i="51"/>
  <c r="H152" i="51"/>
  <c r="H148" i="51"/>
  <c r="H144" i="51"/>
  <c r="H140" i="51"/>
  <c r="H136" i="51"/>
  <c r="H132" i="51"/>
  <c r="H181" i="51"/>
  <c r="H179" i="51"/>
  <c r="H175" i="51"/>
  <c r="H127" i="51"/>
  <c r="H125" i="51"/>
  <c r="H112" i="51"/>
  <c r="H110" i="51"/>
  <c r="H104" i="51"/>
  <c r="H100" i="51"/>
  <c r="H96" i="51"/>
  <c r="H92" i="51"/>
  <c r="H88" i="51"/>
  <c r="H169" i="51"/>
  <c r="H166" i="51"/>
  <c r="H163" i="51"/>
  <c r="H147" i="51"/>
  <c r="H145" i="51"/>
  <c r="H138" i="51"/>
  <c r="H131" i="51"/>
  <c r="H129" i="51"/>
  <c r="H116" i="51"/>
  <c r="H114" i="51"/>
  <c r="H157" i="51"/>
  <c r="H177" i="51"/>
  <c r="H174" i="51"/>
  <c r="H171" i="51"/>
  <c r="H151" i="51"/>
  <c r="H149" i="51"/>
  <c r="H142" i="51"/>
  <c r="H135" i="51"/>
  <c r="H133" i="51"/>
  <c r="H124" i="51"/>
  <c r="H122" i="51"/>
  <c r="H107" i="51"/>
  <c r="H105" i="51"/>
  <c r="H165" i="51"/>
  <c r="H162" i="51"/>
  <c r="H159" i="51"/>
  <c r="H128" i="51"/>
  <c r="H126" i="51"/>
  <c r="H111" i="51"/>
  <c r="H109" i="51"/>
  <c r="H102" i="51"/>
  <c r="H98" i="51"/>
  <c r="H94" i="51"/>
  <c r="H90" i="51"/>
  <c r="H86" i="51"/>
  <c r="H173" i="51"/>
  <c r="H170" i="51"/>
  <c r="H167" i="51"/>
  <c r="H119" i="51"/>
  <c r="H117" i="51"/>
  <c r="H103" i="51"/>
  <c r="H99" i="51"/>
  <c r="H155" i="51"/>
  <c r="H146" i="51"/>
  <c r="H137" i="51"/>
  <c r="H134" i="51"/>
  <c r="H113" i="51"/>
  <c r="H80" i="51"/>
  <c r="H78" i="51"/>
  <c r="H71" i="51"/>
  <c r="H64" i="51"/>
  <c r="H62" i="51"/>
  <c r="H55" i="51"/>
  <c r="H38" i="51"/>
  <c r="H35" i="51"/>
  <c r="H32" i="51"/>
  <c r="H29" i="51"/>
  <c r="H70" i="51"/>
  <c r="H22" i="51"/>
  <c r="H19" i="51"/>
  <c r="H16" i="51"/>
  <c r="H13" i="51"/>
  <c r="H158" i="51"/>
  <c r="H121" i="51"/>
  <c r="H118" i="51"/>
  <c r="H106" i="51"/>
  <c r="H97" i="51"/>
  <c r="H95" i="51"/>
  <c r="H93" i="51"/>
  <c r="H91" i="51"/>
  <c r="H89" i="51"/>
  <c r="H87" i="51"/>
  <c r="H85" i="51"/>
  <c r="H69" i="51"/>
  <c r="H50" i="51"/>
  <c r="H47" i="51"/>
  <c r="H44" i="51"/>
  <c r="H41" i="51"/>
  <c r="H18" i="51"/>
  <c r="H15" i="51"/>
  <c r="H12" i="51"/>
  <c r="H8" i="51"/>
  <c r="H4" i="51"/>
  <c r="H161" i="51"/>
  <c r="H139" i="51"/>
  <c r="H130" i="51"/>
  <c r="H115" i="51"/>
  <c r="H101" i="51"/>
  <c r="H83" i="51"/>
  <c r="H76" i="51"/>
  <c r="H74" i="51"/>
  <c r="H67" i="51"/>
  <c r="H60" i="51"/>
  <c r="H58" i="51"/>
  <c r="H53" i="51"/>
  <c r="H30" i="51"/>
  <c r="H27" i="51"/>
  <c r="H24" i="51"/>
  <c r="H21" i="51"/>
  <c r="H154" i="51"/>
  <c r="H108" i="51"/>
  <c r="H81" i="51"/>
  <c r="H65" i="51"/>
  <c r="H42" i="51"/>
  <c r="H39" i="51"/>
  <c r="H36" i="51"/>
  <c r="H33" i="51"/>
  <c r="H9" i="51"/>
  <c r="H5" i="51"/>
  <c r="H72" i="51"/>
  <c r="H63" i="51"/>
  <c r="H56" i="51"/>
  <c r="H54" i="51"/>
  <c r="H51" i="51"/>
  <c r="H48" i="51"/>
  <c r="H45" i="51"/>
  <c r="H141" i="51"/>
  <c r="H123" i="51"/>
  <c r="H120" i="51"/>
  <c r="H79" i="51"/>
  <c r="H77" i="51"/>
  <c r="H61" i="51"/>
  <c r="H34" i="51"/>
  <c r="H31" i="51"/>
  <c r="H28" i="51"/>
  <c r="H25" i="51"/>
  <c r="H10" i="51"/>
  <c r="H6" i="51"/>
  <c r="H84" i="51"/>
  <c r="H82" i="51"/>
  <c r="H75" i="51"/>
  <c r="H68" i="51"/>
  <c r="H66" i="51"/>
  <c r="H59" i="51"/>
  <c r="H46" i="51"/>
  <c r="H43" i="51"/>
  <c r="H40" i="51"/>
  <c r="H37" i="51"/>
  <c r="H14" i="51"/>
  <c r="H153" i="51"/>
  <c r="H150" i="51"/>
  <c r="H182" i="51"/>
  <c r="H143" i="51"/>
  <c r="H73" i="51"/>
  <c r="H57" i="51"/>
  <c r="H52" i="51"/>
  <c r="H49" i="51"/>
  <c r="H26" i="51"/>
  <c r="H23" i="51"/>
  <c r="H20" i="51"/>
  <c r="H17" i="51"/>
  <c r="H11" i="51"/>
  <c r="H7" i="51"/>
  <c r="H3" i="51"/>
  <c r="G179" i="51"/>
  <c r="G175" i="51"/>
  <c r="G171" i="51"/>
  <c r="G167" i="51"/>
  <c r="I167" i="51" s="1"/>
  <c r="L167" i="51" s="1"/>
  <c r="AK170" i="4" s="1"/>
  <c r="G163" i="51"/>
  <c r="G159" i="51"/>
  <c r="G155" i="51"/>
  <c r="G151" i="51"/>
  <c r="G147" i="51"/>
  <c r="G143" i="51"/>
  <c r="G139" i="51"/>
  <c r="I139" i="51" s="1"/>
  <c r="L139" i="51" s="1"/>
  <c r="AK142" i="4" s="1"/>
  <c r="G135" i="51"/>
  <c r="I135" i="51" s="1"/>
  <c r="L135" i="51" s="1"/>
  <c r="AK138" i="4" s="1"/>
  <c r="G131" i="51"/>
  <c r="I131" i="51" s="1"/>
  <c r="L131" i="51" s="1"/>
  <c r="AK134" i="4" s="1"/>
  <c r="G127" i="51"/>
  <c r="I127" i="51" s="1"/>
  <c r="L127" i="51" s="1"/>
  <c r="AK130" i="4" s="1"/>
  <c r="G123" i="51"/>
  <c r="G119" i="51"/>
  <c r="G115" i="51"/>
  <c r="G111" i="51"/>
  <c r="G107" i="51"/>
  <c r="G180" i="51"/>
  <c r="I180" i="51" s="1"/>
  <c r="L180" i="51" s="1"/>
  <c r="AK183" i="4" s="1"/>
  <c r="G176" i="51"/>
  <c r="I176" i="51" s="1"/>
  <c r="L176" i="51" s="1"/>
  <c r="AK179" i="4" s="1"/>
  <c r="G172" i="51"/>
  <c r="I172" i="51" s="1"/>
  <c r="L172" i="51" s="1"/>
  <c r="AK175" i="4" s="1"/>
  <c r="G168" i="51"/>
  <c r="G164" i="51"/>
  <c r="G160" i="51"/>
  <c r="G156" i="51"/>
  <c r="G181" i="51"/>
  <c r="G177" i="51"/>
  <c r="G173" i="51"/>
  <c r="G169" i="51"/>
  <c r="I169" i="51" s="1"/>
  <c r="L169" i="51" s="1"/>
  <c r="AK172" i="4" s="1"/>
  <c r="G165" i="51"/>
  <c r="I165" i="51" s="1"/>
  <c r="L165" i="51" s="1"/>
  <c r="AK168" i="4" s="1"/>
  <c r="G161" i="51"/>
  <c r="G157" i="51"/>
  <c r="I157" i="51" s="1"/>
  <c r="L157" i="51" s="1"/>
  <c r="AK160" i="4" s="1"/>
  <c r="G153" i="51"/>
  <c r="I153" i="51" s="1"/>
  <c r="L153" i="51" s="1"/>
  <c r="AK156" i="4" s="1"/>
  <c r="G149" i="51"/>
  <c r="I149" i="51" s="1"/>
  <c r="L149" i="51" s="1"/>
  <c r="AK152" i="4" s="1"/>
  <c r="G145" i="51"/>
  <c r="G141" i="51"/>
  <c r="G137" i="51"/>
  <c r="G133" i="51"/>
  <c r="G129" i="51"/>
  <c r="I129" i="51" s="1"/>
  <c r="L129" i="51" s="1"/>
  <c r="AK132" i="4" s="1"/>
  <c r="G125" i="51"/>
  <c r="I125" i="51" s="1"/>
  <c r="L125" i="51" s="1"/>
  <c r="AK128" i="4" s="1"/>
  <c r="G121" i="51"/>
  <c r="G117" i="51"/>
  <c r="I117" i="51" s="1"/>
  <c r="L117" i="51" s="1"/>
  <c r="AK120" i="4" s="1"/>
  <c r="G113" i="51"/>
  <c r="I113" i="51" s="1"/>
  <c r="L113" i="51" s="1"/>
  <c r="AK116" i="4" s="1"/>
  <c r="G109" i="51"/>
  <c r="G178" i="51"/>
  <c r="G174" i="51"/>
  <c r="G170" i="51"/>
  <c r="G166" i="51"/>
  <c r="I166" i="51" s="1"/>
  <c r="L166" i="51" s="1"/>
  <c r="AK169" i="4" s="1"/>
  <c r="G162" i="51"/>
  <c r="I162" i="51" s="1"/>
  <c r="L162" i="51" s="1"/>
  <c r="AK165" i="4" s="1"/>
  <c r="G158" i="51"/>
  <c r="I158" i="51" s="1"/>
  <c r="L158" i="51" s="1"/>
  <c r="AK161" i="4" s="1"/>
  <c r="G154" i="51"/>
  <c r="G150" i="51"/>
  <c r="G146" i="51"/>
  <c r="G142" i="51"/>
  <c r="I142" i="51" s="1"/>
  <c r="L142" i="51" s="1"/>
  <c r="AK145" i="4" s="1"/>
  <c r="G138" i="51"/>
  <c r="G134" i="51"/>
  <c r="G130" i="51"/>
  <c r="G126" i="51"/>
  <c r="G122" i="51"/>
  <c r="G118" i="51"/>
  <c r="I118" i="51" s="1"/>
  <c r="L118" i="51" s="1"/>
  <c r="AK121" i="4" s="1"/>
  <c r="G114" i="51"/>
  <c r="I114" i="51" s="1"/>
  <c r="L114" i="51" s="1"/>
  <c r="AK117" i="4" s="1"/>
  <c r="G110" i="51"/>
  <c r="G106" i="51"/>
  <c r="I106" i="51" s="1"/>
  <c r="L106" i="51" s="1"/>
  <c r="AK109" i="4" s="1"/>
  <c r="G152" i="51"/>
  <c r="G136" i="51"/>
  <c r="G108" i="51"/>
  <c r="G112" i="51"/>
  <c r="I112" i="51" s="1"/>
  <c r="L112" i="51" s="1"/>
  <c r="AK115" i="4" s="1"/>
  <c r="G104" i="51"/>
  <c r="G100" i="51"/>
  <c r="G96" i="51"/>
  <c r="G92" i="51"/>
  <c r="I92" i="51" s="1"/>
  <c r="L92" i="51" s="1"/>
  <c r="AK95" i="4" s="1"/>
  <c r="G88" i="51"/>
  <c r="I88" i="51" s="1"/>
  <c r="L88" i="51" s="1"/>
  <c r="AK91" i="4" s="1"/>
  <c r="G84" i="51"/>
  <c r="I84" i="51" s="1"/>
  <c r="L84" i="51" s="1"/>
  <c r="AK87" i="4" s="1"/>
  <c r="G80" i="51"/>
  <c r="G76" i="51"/>
  <c r="I76" i="51" s="1"/>
  <c r="L76" i="51" s="1"/>
  <c r="AK79" i="4" s="1"/>
  <c r="G72" i="51"/>
  <c r="G68" i="51"/>
  <c r="G64" i="51"/>
  <c r="G60" i="51"/>
  <c r="G56" i="51"/>
  <c r="I56" i="51" s="1"/>
  <c r="L56" i="51" s="1"/>
  <c r="AK59" i="4" s="1"/>
  <c r="G120" i="51"/>
  <c r="I120" i="51" s="1"/>
  <c r="L120" i="51" s="1"/>
  <c r="AK123" i="4" s="1"/>
  <c r="G101" i="51"/>
  <c r="G97" i="51"/>
  <c r="G93" i="51"/>
  <c r="G89" i="51"/>
  <c r="I89" i="51" s="1"/>
  <c r="L89" i="51" s="1"/>
  <c r="AK92" i="4" s="1"/>
  <c r="G85" i="51"/>
  <c r="I85" i="51" s="1"/>
  <c r="L85" i="51" s="1"/>
  <c r="AK88" i="4" s="1"/>
  <c r="G81" i="51"/>
  <c r="G77" i="51"/>
  <c r="I77" i="51" s="1"/>
  <c r="L77" i="51" s="1"/>
  <c r="AK80" i="4" s="1"/>
  <c r="G73" i="51"/>
  <c r="G69" i="51"/>
  <c r="I69" i="51" s="1"/>
  <c r="L69" i="51" s="1"/>
  <c r="AK72" i="4" s="1"/>
  <c r="G65" i="51"/>
  <c r="I65" i="51" s="1"/>
  <c r="L65" i="51" s="1"/>
  <c r="AK68" i="4" s="1"/>
  <c r="G61" i="51"/>
  <c r="I61" i="51" s="1"/>
  <c r="L61" i="51" s="1"/>
  <c r="AK64" i="4" s="1"/>
  <c r="G57" i="51"/>
  <c r="I57" i="51" s="1"/>
  <c r="L57" i="51" s="1"/>
  <c r="AK60" i="4" s="1"/>
  <c r="G53" i="51"/>
  <c r="I53" i="51" s="1"/>
  <c r="L53" i="51" s="1"/>
  <c r="AK56" i="4" s="1"/>
  <c r="G49" i="51"/>
  <c r="G45" i="51"/>
  <c r="I45" i="51" s="1"/>
  <c r="L45" i="51" s="1"/>
  <c r="AK48" i="4" s="1"/>
  <c r="G41" i="51"/>
  <c r="G37" i="51"/>
  <c r="I37" i="51" s="1"/>
  <c r="L37" i="51" s="1"/>
  <c r="AK40" i="4" s="1"/>
  <c r="G33" i="51"/>
  <c r="G29" i="51"/>
  <c r="I29" i="51" s="1"/>
  <c r="L29" i="51" s="1"/>
  <c r="AK32" i="4" s="1"/>
  <c r="G25" i="51"/>
  <c r="G21" i="51"/>
  <c r="G17" i="51"/>
  <c r="G13" i="51"/>
  <c r="G144" i="51"/>
  <c r="I144" i="51" s="1"/>
  <c r="L144" i="51" s="1"/>
  <c r="AK147" i="4" s="1"/>
  <c r="G124" i="51"/>
  <c r="G105" i="51"/>
  <c r="I105" i="51" s="1"/>
  <c r="L105" i="51" s="1"/>
  <c r="AK108" i="4" s="1"/>
  <c r="G148" i="51"/>
  <c r="I148" i="51" s="1"/>
  <c r="L148" i="51" s="1"/>
  <c r="AK151" i="4" s="1"/>
  <c r="G132" i="51"/>
  <c r="G52" i="51"/>
  <c r="I52" i="51" s="1"/>
  <c r="L52" i="51" s="1"/>
  <c r="AK55" i="4" s="1"/>
  <c r="G26" i="51"/>
  <c r="G23" i="51"/>
  <c r="G20" i="51"/>
  <c r="G11" i="51"/>
  <c r="G7" i="51"/>
  <c r="I7" i="51" s="1"/>
  <c r="L7" i="51" s="1"/>
  <c r="AK10" i="4" s="1"/>
  <c r="G42" i="51"/>
  <c r="G78" i="51"/>
  <c r="I78" i="51" s="1"/>
  <c r="L78" i="51" s="1"/>
  <c r="AK81" i="4" s="1"/>
  <c r="G71" i="51"/>
  <c r="I71" i="51" s="1"/>
  <c r="L71" i="51" s="1"/>
  <c r="AK74" i="4" s="1"/>
  <c r="G62" i="51"/>
  <c r="G55" i="51"/>
  <c r="G38" i="51"/>
  <c r="G35" i="51"/>
  <c r="I35" i="51" s="1"/>
  <c r="L35" i="51" s="1"/>
  <c r="AK38" i="4" s="1"/>
  <c r="G32" i="51"/>
  <c r="G99" i="51"/>
  <c r="I99" i="51" s="1"/>
  <c r="L99" i="51" s="1"/>
  <c r="AK102" i="4" s="1"/>
  <c r="G95" i="51"/>
  <c r="G91" i="51"/>
  <c r="G87" i="51"/>
  <c r="G50" i="51"/>
  <c r="G47" i="51"/>
  <c r="G44" i="51"/>
  <c r="G18" i="51"/>
  <c r="I18" i="51" s="1"/>
  <c r="L18" i="51" s="1"/>
  <c r="AK21" i="4" s="1"/>
  <c r="G15" i="51"/>
  <c r="G12" i="51"/>
  <c r="I12" i="51" s="1"/>
  <c r="L12" i="51" s="1"/>
  <c r="AK15" i="4" s="1"/>
  <c r="G8" i="51"/>
  <c r="I8" i="51" s="1"/>
  <c r="L8" i="51" s="1"/>
  <c r="AK11" i="4" s="1"/>
  <c r="G4" i="51"/>
  <c r="G103" i="51"/>
  <c r="I103" i="51" s="1"/>
  <c r="L103" i="51" s="1"/>
  <c r="AK106" i="4" s="1"/>
  <c r="G83" i="51"/>
  <c r="I83" i="51" s="1"/>
  <c r="L83" i="51" s="1"/>
  <c r="AK86" i="4" s="1"/>
  <c r="G74" i="51"/>
  <c r="G67" i="51"/>
  <c r="G58" i="51"/>
  <c r="G30" i="51"/>
  <c r="I30" i="51" s="1"/>
  <c r="L30" i="51" s="1"/>
  <c r="AK33" i="4" s="1"/>
  <c r="G27" i="51"/>
  <c r="I27" i="51" s="1"/>
  <c r="L27" i="51" s="1"/>
  <c r="AK30" i="4" s="1"/>
  <c r="G24" i="51"/>
  <c r="I24" i="51" s="1"/>
  <c r="L24" i="51" s="1"/>
  <c r="AK27" i="4" s="1"/>
  <c r="G39" i="51"/>
  <c r="I39" i="51" s="1"/>
  <c r="L39" i="51" s="1"/>
  <c r="AK42" i="4" s="1"/>
  <c r="G9" i="51"/>
  <c r="G98" i="51"/>
  <c r="I98" i="51" s="1"/>
  <c r="L98" i="51" s="1"/>
  <c r="AK101" i="4" s="1"/>
  <c r="G94" i="51"/>
  <c r="I94" i="51" s="1"/>
  <c r="L94" i="51" s="1"/>
  <c r="AK97" i="4" s="1"/>
  <c r="G90" i="51"/>
  <c r="I90" i="51" s="1"/>
  <c r="L90" i="51" s="1"/>
  <c r="AK93" i="4" s="1"/>
  <c r="G86" i="51"/>
  <c r="G79" i="51"/>
  <c r="G70" i="51"/>
  <c r="I70" i="51" s="1"/>
  <c r="L70" i="51" s="1"/>
  <c r="AK73" i="4" s="1"/>
  <c r="G63" i="51"/>
  <c r="I63" i="51" s="1"/>
  <c r="L63" i="51" s="1"/>
  <c r="AK66" i="4" s="1"/>
  <c r="G54" i="51"/>
  <c r="I54" i="51" s="1"/>
  <c r="L54" i="51" s="1"/>
  <c r="AK57" i="4" s="1"/>
  <c r="G51" i="51"/>
  <c r="I51" i="51" s="1"/>
  <c r="L51" i="51" s="1"/>
  <c r="AK54" i="4" s="1"/>
  <c r="G48" i="51"/>
  <c r="G22" i="51"/>
  <c r="G19" i="51"/>
  <c r="G16" i="51"/>
  <c r="G102" i="51"/>
  <c r="I102" i="51" s="1"/>
  <c r="L102" i="51" s="1"/>
  <c r="AK105" i="4" s="1"/>
  <c r="G34" i="51"/>
  <c r="G31" i="51"/>
  <c r="G28" i="51"/>
  <c r="G140" i="51"/>
  <c r="I140" i="51" s="1"/>
  <c r="L140" i="51" s="1"/>
  <c r="AK143" i="4" s="1"/>
  <c r="G128" i="51"/>
  <c r="G116" i="51"/>
  <c r="I116" i="51" s="1"/>
  <c r="L116" i="51" s="1"/>
  <c r="AK119" i="4" s="1"/>
  <c r="G82" i="51"/>
  <c r="I82" i="51" s="1"/>
  <c r="L82" i="51" s="1"/>
  <c r="AK85" i="4" s="1"/>
  <c r="G75" i="51"/>
  <c r="G66" i="51"/>
  <c r="G59" i="51"/>
  <c r="I59" i="51" s="1"/>
  <c r="L59" i="51" s="1"/>
  <c r="AK62" i="4" s="1"/>
  <c r="G46" i="51"/>
  <c r="I46" i="51" s="1"/>
  <c r="L46" i="51" s="1"/>
  <c r="AK49" i="4" s="1"/>
  <c r="G43" i="51"/>
  <c r="G40" i="51"/>
  <c r="I40" i="51" s="1"/>
  <c r="L40" i="51" s="1"/>
  <c r="AK43" i="4" s="1"/>
  <c r="G14" i="51"/>
  <c r="G3" i="51"/>
  <c r="G36" i="51"/>
  <c r="I36" i="51" s="1"/>
  <c r="L36" i="51" s="1"/>
  <c r="AK39" i="4" s="1"/>
  <c r="G5" i="51"/>
  <c r="G10" i="51"/>
  <c r="I10" i="51" s="1"/>
  <c r="L10" i="51" s="1"/>
  <c r="AK13" i="4" s="1"/>
  <c r="G6" i="51"/>
  <c r="G195" i="50"/>
  <c r="G195" i="49"/>
  <c r="H176" i="49"/>
  <c r="H172" i="49"/>
  <c r="H168" i="49"/>
  <c r="H164" i="49"/>
  <c r="H160" i="49"/>
  <c r="H156" i="49"/>
  <c r="H152" i="49"/>
  <c r="H148" i="49"/>
  <c r="H144" i="49"/>
  <c r="H140" i="49"/>
  <c r="H136" i="49"/>
  <c r="H132" i="49"/>
  <c r="H128" i="49"/>
  <c r="H124" i="49"/>
  <c r="H181" i="49"/>
  <c r="H177" i="49"/>
  <c r="H173" i="49"/>
  <c r="H169" i="49"/>
  <c r="H165" i="49"/>
  <c r="H161" i="49"/>
  <c r="H157" i="49"/>
  <c r="H153" i="49"/>
  <c r="H149" i="49"/>
  <c r="H145" i="49"/>
  <c r="H141" i="49"/>
  <c r="H137" i="49"/>
  <c r="H133" i="49"/>
  <c r="H129" i="49"/>
  <c r="H125" i="49"/>
  <c r="H121" i="49"/>
  <c r="H117" i="49"/>
  <c r="H113" i="49"/>
  <c r="H109" i="49"/>
  <c r="H105" i="49"/>
  <c r="H101" i="49"/>
  <c r="H97" i="49"/>
  <c r="H93" i="49"/>
  <c r="H89" i="49"/>
  <c r="H85" i="49"/>
  <c r="H178" i="49"/>
  <c r="H174" i="49"/>
  <c r="H170" i="49"/>
  <c r="H166" i="49"/>
  <c r="H162" i="49"/>
  <c r="H158" i="49"/>
  <c r="H154" i="49"/>
  <c r="H150" i="49"/>
  <c r="H146" i="49"/>
  <c r="H142" i="49"/>
  <c r="H138" i="49"/>
  <c r="H134" i="49"/>
  <c r="H130" i="49"/>
  <c r="H126" i="49"/>
  <c r="H122" i="49"/>
  <c r="H118" i="49"/>
  <c r="H114" i="49"/>
  <c r="H110" i="49"/>
  <c r="H106" i="49"/>
  <c r="H102" i="49"/>
  <c r="H98" i="49"/>
  <c r="H94" i="49"/>
  <c r="H90" i="49"/>
  <c r="H86" i="49"/>
  <c r="H120" i="49"/>
  <c r="H115" i="49"/>
  <c r="H99" i="49"/>
  <c r="H96" i="49"/>
  <c r="H83" i="49"/>
  <c r="H79" i="49"/>
  <c r="H75" i="49"/>
  <c r="H71" i="49"/>
  <c r="H67" i="49"/>
  <c r="H63" i="49"/>
  <c r="H59" i="49"/>
  <c r="H55" i="49"/>
  <c r="H51" i="49"/>
  <c r="H47" i="49"/>
  <c r="H43" i="49"/>
  <c r="H39" i="49"/>
  <c r="H35" i="49"/>
  <c r="H31" i="49"/>
  <c r="H27" i="49"/>
  <c r="H23" i="49"/>
  <c r="H19" i="49"/>
  <c r="H15" i="49"/>
  <c r="H11" i="49"/>
  <c r="H7" i="49"/>
  <c r="H112" i="49"/>
  <c r="H175" i="49"/>
  <c r="H167" i="49"/>
  <c r="H159" i="49"/>
  <c r="H151" i="49"/>
  <c r="H143" i="49"/>
  <c r="H135" i="49"/>
  <c r="H127" i="49"/>
  <c r="H103" i="49"/>
  <c r="H100" i="49"/>
  <c r="H87" i="49"/>
  <c r="H84" i="49"/>
  <c r="H80" i="49"/>
  <c r="H76" i="49"/>
  <c r="H72" i="49"/>
  <c r="H68" i="49"/>
  <c r="H64" i="49"/>
  <c r="H60" i="49"/>
  <c r="H56" i="49"/>
  <c r="H52" i="49"/>
  <c r="H48" i="49"/>
  <c r="H44" i="49"/>
  <c r="H40" i="49"/>
  <c r="H36" i="49"/>
  <c r="H119" i="49"/>
  <c r="H116" i="49"/>
  <c r="H107" i="49"/>
  <c r="H104" i="49"/>
  <c r="H91" i="49"/>
  <c r="H88" i="49"/>
  <c r="H81" i="49"/>
  <c r="H77" i="49"/>
  <c r="H73" i="49"/>
  <c r="H69" i="49"/>
  <c r="H65" i="49"/>
  <c r="H61" i="49"/>
  <c r="H57" i="49"/>
  <c r="H53" i="49"/>
  <c r="H49" i="49"/>
  <c r="H45" i="49"/>
  <c r="H41" i="49"/>
  <c r="H37" i="49"/>
  <c r="H33" i="49"/>
  <c r="H29" i="49"/>
  <c r="H25" i="49"/>
  <c r="H21" i="49"/>
  <c r="H17" i="49"/>
  <c r="H13" i="49"/>
  <c r="H9" i="49"/>
  <c r="H5" i="49"/>
  <c r="H171" i="49"/>
  <c r="H111" i="49"/>
  <c r="H108" i="49"/>
  <c r="H18" i="49"/>
  <c r="H10" i="49"/>
  <c r="H163" i="49"/>
  <c r="H78" i="49"/>
  <c r="H70" i="49"/>
  <c r="H62" i="49"/>
  <c r="H54" i="49"/>
  <c r="H46" i="49"/>
  <c r="H38" i="49"/>
  <c r="H28" i="49"/>
  <c r="H24" i="49"/>
  <c r="H14" i="49"/>
  <c r="H6" i="49"/>
  <c r="H155" i="49"/>
  <c r="H30" i="49"/>
  <c r="H147" i="49"/>
  <c r="H20" i="49"/>
  <c r="H12" i="49"/>
  <c r="H4" i="49"/>
  <c r="H139" i="49"/>
  <c r="H32" i="49"/>
  <c r="H22" i="49"/>
  <c r="H131" i="49"/>
  <c r="H95" i="49"/>
  <c r="H92" i="49"/>
  <c r="H82" i="49"/>
  <c r="H74" i="49"/>
  <c r="H66" i="49"/>
  <c r="H58" i="49"/>
  <c r="H50" i="49"/>
  <c r="H42" i="49"/>
  <c r="H34" i="49"/>
  <c r="H179" i="49"/>
  <c r="H26" i="49"/>
  <c r="H16" i="49"/>
  <c r="H8" i="49"/>
  <c r="H123" i="49"/>
  <c r="L171" i="48"/>
  <c r="AB174" i="4" s="1"/>
  <c r="L85" i="48"/>
  <c r="AB88" i="4" s="1"/>
  <c r="L123" i="48"/>
  <c r="AB126" i="4" s="1"/>
  <c r="G195" i="48"/>
  <c r="I72" i="47"/>
  <c r="L72" i="47" s="1"/>
  <c r="Y75" i="4" s="1"/>
  <c r="I177" i="47"/>
  <c r="L177" i="47" s="1"/>
  <c r="Y180" i="4" s="1"/>
  <c r="I85" i="47"/>
  <c r="L85" i="47" s="1"/>
  <c r="Y88" i="4" s="1"/>
  <c r="I117" i="47"/>
  <c r="L117" i="47" s="1"/>
  <c r="Y120" i="4" s="1"/>
  <c r="I8" i="47"/>
  <c r="L8" i="47" s="1"/>
  <c r="Y11" i="4" s="1"/>
  <c r="I22" i="47"/>
  <c r="L22" i="47" s="1"/>
  <c r="Y25" i="4" s="1"/>
  <c r="I178" i="47"/>
  <c r="L178" i="47" s="1"/>
  <c r="Y181" i="4" s="1"/>
  <c r="I78" i="47"/>
  <c r="L78" i="47" s="1"/>
  <c r="Y81" i="4" s="1"/>
  <c r="I110" i="47"/>
  <c r="L110" i="47" s="1"/>
  <c r="Y113" i="4" s="1"/>
  <c r="I92" i="47"/>
  <c r="L92" i="47" s="1"/>
  <c r="Y95" i="4" s="1"/>
  <c r="I16" i="47"/>
  <c r="L16" i="47" s="1"/>
  <c r="Y19" i="4" s="1"/>
  <c r="I91" i="47"/>
  <c r="L91" i="47" s="1"/>
  <c r="Y94" i="4" s="1"/>
  <c r="I59" i="47"/>
  <c r="L59" i="47" s="1"/>
  <c r="Y62" i="4" s="1"/>
  <c r="I48" i="47"/>
  <c r="L48" i="47" s="1"/>
  <c r="Y51" i="4" s="1"/>
  <c r="I61" i="47"/>
  <c r="L61" i="47" s="1"/>
  <c r="Y64" i="4" s="1"/>
  <c r="I93" i="47"/>
  <c r="L93" i="47" s="1"/>
  <c r="Y96" i="4" s="1"/>
  <c r="I155" i="47"/>
  <c r="L155" i="47" s="1"/>
  <c r="Y158" i="4" s="1"/>
  <c r="G200" i="45"/>
  <c r="H180" i="44"/>
  <c r="H176" i="44"/>
  <c r="H172" i="44"/>
  <c r="H168" i="44"/>
  <c r="H164" i="44"/>
  <c r="H160" i="44"/>
  <c r="H156" i="44"/>
  <c r="H152" i="44"/>
  <c r="H148" i="44"/>
  <c r="H144" i="44"/>
  <c r="H140" i="44"/>
  <c r="H136" i="44"/>
  <c r="H132" i="44"/>
  <c r="H128" i="44"/>
  <c r="H124" i="44"/>
  <c r="H120" i="44"/>
  <c r="H116" i="44"/>
  <c r="H112" i="44"/>
  <c r="H108" i="44"/>
  <c r="H104" i="44"/>
  <c r="H100" i="44"/>
  <c r="H96" i="44"/>
  <c r="H92" i="44"/>
  <c r="H88" i="44"/>
  <c r="H84" i="44"/>
  <c r="H80" i="44"/>
  <c r="H181" i="44"/>
  <c r="H177" i="44"/>
  <c r="H173" i="44"/>
  <c r="H169" i="44"/>
  <c r="H165" i="44"/>
  <c r="H161" i="44"/>
  <c r="H157" i="44"/>
  <c r="H153" i="44"/>
  <c r="H149" i="44"/>
  <c r="H145" i="44"/>
  <c r="H141" i="44"/>
  <c r="H137" i="44"/>
  <c r="H133" i="44"/>
  <c r="H129" i="44"/>
  <c r="H125" i="44"/>
  <c r="H121" i="44"/>
  <c r="H117" i="44"/>
  <c r="H113" i="44"/>
  <c r="H109" i="44"/>
  <c r="H105" i="44"/>
  <c r="H101" i="44"/>
  <c r="H97" i="44"/>
  <c r="H93" i="44"/>
  <c r="H89" i="44"/>
  <c r="H85" i="44"/>
  <c r="H81" i="44"/>
  <c r="H178" i="44"/>
  <c r="H174" i="44"/>
  <c r="H170" i="44"/>
  <c r="H166" i="44"/>
  <c r="H162" i="44"/>
  <c r="H158" i="44"/>
  <c r="H154" i="44"/>
  <c r="H150" i="44"/>
  <c r="H146" i="44"/>
  <c r="H142" i="44"/>
  <c r="H138" i="44"/>
  <c r="H134" i="44"/>
  <c r="H130" i="44"/>
  <c r="H126" i="44"/>
  <c r="H122" i="44"/>
  <c r="H118" i="44"/>
  <c r="H114" i="44"/>
  <c r="H110" i="44"/>
  <c r="H106" i="44"/>
  <c r="H102" i="44"/>
  <c r="H98" i="44"/>
  <c r="H94" i="44"/>
  <c r="H90" i="44"/>
  <c r="H86" i="44"/>
  <c r="H82" i="44"/>
  <c r="H78" i="44"/>
  <c r="H107" i="44"/>
  <c r="H175" i="44"/>
  <c r="H167" i="44"/>
  <c r="H159" i="44"/>
  <c r="H151" i="44"/>
  <c r="H143" i="44"/>
  <c r="H135" i="44"/>
  <c r="H127" i="44"/>
  <c r="H119" i="44"/>
  <c r="H111" i="44"/>
  <c r="H103" i="44"/>
  <c r="H83" i="44"/>
  <c r="H77" i="44"/>
  <c r="H73" i="44"/>
  <c r="H95" i="44"/>
  <c r="H179" i="44"/>
  <c r="H171" i="44"/>
  <c r="H163" i="44"/>
  <c r="H155" i="44"/>
  <c r="H147" i="44"/>
  <c r="H139" i="44"/>
  <c r="H131" i="44"/>
  <c r="H123" i="44"/>
  <c r="H115" i="44"/>
  <c r="H87" i="44"/>
  <c r="H3" i="44"/>
  <c r="H72" i="44"/>
  <c r="H59" i="44"/>
  <c r="H57" i="44"/>
  <c r="H42" i="44"/>
  <c r="H40" i="44"/>
  <c r="H34" i="44"/>
  <c r="H25" i="44"/>
  <c r="H18" i="44"/>
  <c r="H9" i="44"/>
  <c r="H66" i="44"/>
  <c r="H22" i="44"/>
  <c r="H91" i="44"/>
  <c r="H68" i="44"/>
  <c r="H53" i="44"/>
  <c r="H38" i="44"/>
  <c r="H27" i="44"/>
  <c r="H11" i="44"/>
  <c r="H4" i="44"/>
  <c r="H74" i="44"/>
  <c r="H63" i="44"/>
  <c r="H61" i="44"/>
  <c r="H46" i="44"/>
  <c r="H44" i="44"/>
  <c r="H32" i="44"/>
  <c r="H23" i="44"/>
  <c r="H16" i="44"/>
  <c r="H7" i="44"/>
  <c r="H51" i="44"/>
  <c r="H29" i="44"/>
  <c r="H79" i="44"/>
  <c r="H55" i="44"/>
  <c r="H20" i="44"/>
  <c r="H76" i="44"/>
  <c r="H67" i="44"/>
  <c r="H65" i="44"/>
  <c r="H50" i="44"/>
  <c r="H48" i="44"/>
  <c r="H30" i="44"/>
  <c r="H21" i="44"/>
  <c r="H14" i="44"/>
  <c r="H5" i="44"/>
  <c r="H64" i="44"/>
  <c r="H13" i="44"/>
  <c r="H70" i="44"/>
  <c r="H36" i="44"/>
  <c r="H71" i="44"/>
  <c r="H69" i="44"/>
  <c r="H54" i="44"/>
  <c r="H52" i="44"/>
  <c r="H39" i="44"/>
  <c r="H37" i="44"/>
  <c r="H35" i="44"/>
  <c r="H28" i="44"/>
  <c r="H19" i="44"/>
  <c r="H12" i="44"/>
  <c r="H99" i="44"/>
  <c r="H58" i="44"/>
  <c r="H56" i="44"/>
  <c r="H43" i="44"/>
  <c r="H41" i="44"/>
  <c r="H33" i="44"/>
  <c r="H26" i="44"/>
  <c r="H17" i="44"/>
  <c r="H10" i="44"/>
  <c r="H75" i="44"/>
  <c r="H62" i="44"/>
  <c r="H60" i="44"/>
  <c r="H47" i="44"/>
  <c r="H45" i="44"/>
  <c r="H31" i="44"/>
  <c r="H24" i="44"/>
  <c r="H15" i="44"/>
  <c r="H8" i="44"/>
  <c r="H49" i="44"/>
  <c r="H6" i="44"/>
  <c r="G183" i="44"/>
  <c r="G179" i="44"/>
  <c r="G175" i="44"/>
  <c r="G171" i="44"/>
  <c r="I171" i="44" s="1"/>
  <c r="L171" i="44" s="1"/>
  <c r="S174" i="4" s="1"/>
  <c r="G167" i="44"/>
  <c r="G163" i="44"/>
  <c r="G159" i="44"/>
  <c r="I159" i="44" s="1"/>
  <c r="L159" i="44" s="1"/>
  <c r="S162" i="4" s="1"/>
  <c r="G155" i="44"/>
  <c r="G151" i="44"/>
  <c r="G147" i="44"/>
  <c r="G143" i="44"/>
  <c r="G139" i="44"/>
  <c r="G135" i="44"/>
  <c r="G131" i="44"/>
  <c r="G127" i="44"/>
  <c r="G123" i="44"/>
  <c r="G119" i="44"/>
  <c r="G115" i="44"/>
  <c r="G111" i="44"/>
  <c r="G107" i="44"/>
  <c r="I107" i="44" s="1"/>
  <c r="L107" i="44" s="1"/>
  <c r="S110" i="4" s="1"/>
  <c r="G180" i="44"/>
  <c r="G176" i="44"/>
  <c r="G172" i="44"/>
  <c r="G168" i="44"/>
  <c r="I168" i="44" s="1"/>
  <c r="L168" i="44" s="1"/>
  <c r="S171" i="4" s="1"/>
  <c r="G164" i="44"/>
  <c r="I164" i="44" s="1"/>
  <c r="L164" i="44" s="1"/>
  <c r="S167" i="4" s="1"/>
  <c r="G160" i="44"/>
  <c r="I160" i="44" s="1"/>
  <c r="L160" i="44" s="1"/>
  <c r="S163" i="4" s="1"/>
  <c r="G156" i="44"/>
  <c r="I156" i="44" s="1"/>
  <c r="L156" i="44" s="1"/>
  <c r="S159" i="4" s="1"/>
  <c r="G152" i="44"/>
  <c r="I152" i="44" s="1"/>
  <c r="L152" i="44" s="1"/>
  <c r="S155" i="4" s="1"/>
  <c r="G148" i="44"/>
  <c r="G144" i="44"/>
  <c r="G140" i="44"/>
  <c r="G136" i="44"/>
  <c r="G132" i="44"/>
  <c r="I132" i="44" s="1"/>
  <c r="L132" i="44" s="1"/>
  <c r="S135" i="4" s="1"/>
  <c r="G128" i="44"/>
  <c r="I128" i="44" s="1"/>
  <c r="L128" i="44" s="1"/>
  <c r="S131" i="4" s="1"/>
  <c r="G124" i="44"/>
  <c r="I124" i="44" s="1"/>
  <c r="L124" i="44" s="1"/>
  <c r="S127" i="4" s="1"/>
  <c r="G120" i="44"/>
  <c r="I120" i="44" s="1"/>
  <c r="L120" i="44" s="1"/>
  <c r="S123" i="4" s="1"/>
  <c r="G116" i="44"/>
  <c r="G112" i="44"/>
  <c r="G108" i="44"/>
  <c r="G181" i="44"/>
  <c r="G177" i="44"/>
  <c r="G173" i="44"/>
  <c r="I173" i="44" s="1"/>
  <c r="L173" i="44" s="1"/>
  <c r="S176" i="4" s="1"/>
  <c r="G169" i="44"/>
  <c r="G165" i="44"/>
  <c r="G161" i="44"/>
  <c r="G157" i="44"/>
  <c r="G153" i="44"/>
  <c r="G149" i="44"/>
  <c r="G145" i="44"/>
  <c r="G141" i="44"/>
  <c r="I141" i="44" s="1"/>
  <c r="L141" i="44" s="1"/>
  <c r="S144" i="4" s="1"/>
  <c r="G137" i="44"/>
  <c r="G133" i="44"/>
  <c r="G129" i="44"/>
  <c r="G125" i="44"/>
  <c r="G121" i="44"/>
  <c r="G117" i="44"/>
  <c r="G113" i="44"/>
  <c r="G109" i="44"/>
  <c r="I109" i="44" s="1"/>
  <c r="L109" i="44" s="1"/>
  <c r="S112" i="4" s="1"/>
  <c r="G105" i="44"/>
  <c r="G102" i="44"/>
  <c r="G99" i="44"/>
  <c r="I99" i="44" s="1"/>
  <c r="L99" i="44" s="1"/>
  <c r="S102" i="4" s="1"/>
  <c r="G178" i="44"/>
  <c r="G170" i="44"/>
  <c r="G162" i="44"/>
  <c r="G154" i="44"/>
  <c r="G146" i="44"/>
  <c r="I146" i="44" s="1"/>
  <c r="L146" i="44" s="1"/>
  <c r="S149" i="4" s="1"/>
  <c r="G138" i="44"/>
  <c r="G130" i="44"/>
  <c r="G122" i="44"/>
  <c r="G114" i="44"/>
  <c r="G100" i="44"/>
  <c r="G97" i="44"/>
  <c r="G94" i="44"/>
  <c r="G91" i="44"/>
  <c r="I91" i="44" s="1"/>
  <c r="L91" i="44" s="1"/>
  <c r="S94" i="4" s="1"/>
  <c r="G76" i="44"/>
  <c r="G72" i="44"/>
  <c r="G68" i="44"/>
  <c r="G64" i="44"/>
  <c r="G60" i="44"/>
  <c r="G56" i="44"/>
  <c r="G52" i="44"/>
  <c r="G48" i="44"/>
  <c r="I48" i="44" s="1"/>
  <c r="L48" i="44" s="1"/>
  <c r="S51" i="4" s="1"/>
  <c r="G44" i="44"/>
  <c r="G40" i="44"/>
  <c r="G36" i="44"/>
  <c r="G32" i="44"/>
  <c r="G28" i="44"/>
  <c r="G24" i="44"/>
  <c r="G20" i="44"/>
  <c r="G16" i="44"/>
  <c r="G12" i="44"/>
  <c r="G8" i="44"/>
  <c r="G103" i="44"/>
  <c r="G80" i="44"/>
  <c r="G106" i="44"/>
  <c r="G92" i="44"/>
  <c r="G89" i="44"/>
  <c r="G86" i="44"/>
  <c r="I86" i="44" s="1"/>
  <c r="L86" i="44" s="1"/>
  <c r="S89" i="4" s="1"/>
  <c r="G83" i="44"/>
  <c r="G77" i="44"/>
  <c r="G73" i="44"/>
  <c r="G69" i="44"/>
  <c r="G65" i="44"/>
  <c r="G61" i="44"/>
  <c r="G57" i="44"/>
  <c r="G53" i="44"/>
  <c r="G49" i="44"/>
  <c r="G45" i="44"/>
  <c r="G41" i="44"/>
  <c r="G37" i="44"/>
  <c r="G84" i="44"/>
  <c r="G81" i="44"/>
  <c r="G78" i="44"/>
  <c r="G74" i="44"/>
  <c r="G70" i="44"/>
  <c r="G66" i="44"/>
  <c r="G62" i="44"/>
  <c r="G58" i="44"/>
  <c r="I58" i="44" s="1"/>
  <c r="L58" i="44" s="1"/>
  <c r="S61" i="4" s="1"/>
  <c r="G54" i="44"/>
  <c r="G50" i="44"/>
  <c r="G46" i="44"/>
  <c r="G42" i="44"/>
  <c r="I42" i="44" s="1"/>
  <c r="L42" i="44" s="1"/>
  <c r="S45" i="4" s="1"/>
  <c r="G38" i="44"/>
  <c r="G34" i="44"/>
  <c r="G30" i="44"/>
  <c r="G26" i="44"/>
  <c r="G22" i="44"/>
  <c r="G18" i="44"/>
  <c r="G14" i="44"/>
  <c r="G10" i="44"/>
  <c r="G6" i="44"/>
  <c r="G166" i="44"/>
  <c r="G88" i="44"/>
  <c r="G79" i="44"/>
  <c r="G55" i="44"/>
  <c r="G27" i="44"/>
  <c r="G11" i="44"/>
  <c r="G4" i="44"/>
  <c r="G75" i="44"/>
  <c r="G15" i="44"/>
  <c r="G29" i="44"/>
  <c r="G142" i="44"/>
  <c r="G93" i="44"/>
  <c r="G59" i="44"/>
  <c r="G25" i="44"/>
  <c r="G9" i="44"/>
  <c r="G31" i="44"/>
  <c r="I31" i="44" s="1"/>
  <c r="L31" i="44" s="1"/>
  <c r="S34" i="4" s="1"/>
  <c r="G126" i="44"/>
  <c r="G182" i="44"/>
  <c r="G118" i="44"/>
  <c r="G95" i="44"/>
  <c r="G90" i="44"/>
  <c r="I90" i="44" s="1"/>
  <c r="L90" i="44" s="1"/>
  <c r="S93" i="4" s="1"/>
  <c r="G85" i="44"/>
  <c r="G63" i="44"/>
  <c r="I63" i="44" s="1"/>
  <c r="L63" i="44" s="1"/>
  <c r="S66" i="4" s="1"/>
  <c r="G23" i="44"/>
  <c r="G7" i="44"/>
  <c r="G150" i="44"/>
  <c r="G101" i="44"/>
  <c r="G96" i="44"/>
  <c r="G98" i="44"/>
  <c r="G158" i="44"/>
  <c r="G67" i="44"/>
  <c r="G21" i="44"/>
  <c r="G5" i="44"/>
  <c r="I184" i="44"/>
  <c r="G51" i="44"/>
  <c r="G134" i="44"/>
  <c r="G104" i="44"/>
  <c r="G87" i="44"/>
  <c r="G82" i="44"/>
  <c r="I82" i="44" s="1"/>
  <c r="L82" i="44" s="1"/>
  <c r="S85" i="4" s="1"/>
  <c r="G71" i="44"/>
  <c r="I71" i="44" s="1"/>
  <c r="L71" i="44" s="1"/>
  <c r="S74" i="4" s="1"/>
  <c r="G39" i="44"/>
  <c r="G35" i="44"/>
  <c r="G19" i="44"/>
  <c r="G3" i="44"/>
  <c r="G174" i="44"/>
  <c r="G110" i="44"/>
  <c r="G43" i="44"/>
  <c r="G33" i="44"/>
  <c r="G17" i="44"/>
  <c r="I17" i="44" s="1"/>
  <c r="L17" i="44" s="1"/>
  <c r="S20" i="4" s="1"/>
  <c r="G47" i="44"/>
  <c r="G13" i="44"/>
  <c r="G195" i="44"/>
  <c r="I9" i="43"/>
  <c r="L9" i="43" s="1"/>
  <c r="P12" i="4" s="1"/>
  <c r="I100" i="43"/>
  <c r="L100" i="43" s="1"/>
  <c r="P103" i="4" s="1"/>
  <c r="I177" i="43"/>
  <c r="L177" i="43" s="1"/>
  <c r="P180" i="4" s="1"/>
  <c r="I178" i="43"/>
  <c r="L178" i="43" s="1"/>
  <c r="P181" i="4" s="1"/>
  <c r="I128" i="43"/>
  <c r="L128" i="43" s="1"/>
  <c r="P131" i="4" s="1"/>
  <c r="I11" i="43"/>
  <c r="L11" i="43" s="1"/>
  <c r="P14" i="4" s="1"/>
  <c r="I8" i="43"/>
  <c r="L8" i="43" s="1"/>
  <c r="P11" i="4" s="1"/>
  <c r="I98" i="43"/>
  <c r="L98" i="43" s="1"/>
  <c r="P101" i="4" s="1"/>
  <c r="I136" i="43"/>
  <c r="L136" i="43" s="1"/>
  <c r="P139" i="4" s="1"/>
  <c r="I143" i="43"/>
  <c r="L143" i="43" s="1"/>
  <c r="P146" i="4" s="1"/>
  <c r="I105" i="43"/>
  <c r="L105" i="43" s="1"/>
  <c r="P108" i="4" s="1"/>
  <c r="I40" i="43"/>
  <c r="L40" i="43" s="1"/>
  <c r="P43" i="4" s="1"/>
  <c r="I168" i="43"/>
  <c r="L168" i="43" s="1"/>
  <c r="P171" i="4" s="1"/>
  <c r="I155" i="43"/>
  <c r="L155" i="43" s="1"/>
  <c r="P158" i="4" s="1"/>
  <c r="I43" i="43"/>
  <c r="L43" i="43" s="1"/>
  <c r="P46" i="4" s="1"/>
  <c r="I148" i="43"/>
  <c r="L148" i="43" s="1"/>
  <c r="P151" i="4" s="1"/>
  <c r="I47" i="43"/>
  <c r="L47" i="43" s="1"/>
  <c r="P50" i="4" s="1"/>
  <c r="I70" i="43"/>
  <c r="L70" i="43" s="1"/>
  <c r="P73" i="4" s="1"/>
  <c r="I93" i="43"/>
  <c r="L93" i="43" s="1"/>
  <c r="P96" i="4" s="1"/>
  <c r="I175" i="43"/>
  <c r="L175" i="43" s="1"/>
  <c r="P178" i="4" s="1"/>
  <c r="I90" i="43"/>
  <c r="L90" i="43" s="1"/>
  <c r="P93" i="4" s="1"/>
  <c r="I55" i="43"/>
  <c r="L55" i="43" s="1"/>
  <c r="P58" i="4" s="1"/>
  <c r="I156" i="43"/>
  <c r="L156" i="43" s="1"/>
  <c r="P159" i="4" s="1"/>
  <c r="I34" i="43"/>
  <c r="L34" i="43" s="1"/>
  <c r="P37" i="4" s="1"/>
  <c r="I169" i="43"/>
  <c r="L169" i="43" s="1"/>
  <c r="P172" i="4" s="1"/>
  <c r="I81" i="43"/>
  <c r="L81" i="43" s="1"/>
  <c r="P84" i="4" s="1"/>
  <c r="I18" i="43"/>
  <c r="L18" i="43" s="1"/>
  <c r="P21" i="4" s="1"/>
  <c r="I36" i="43"/>
  <c r="L36" i="43" s="1"/>
  <c r="P39" i="4" s="1"/>
  <c r="I122" i="43"/>
  <c r="L122" i="43" s="1"/>
  <c r="P125" i="4" s="1"/>
  <c r="I91" i="43"/>
  <c r="L91" i="43" s="1"/>
  <c r="P94" i="4" s="1"/>
  <c r="I95" i="43"/>
  <c r="L95" i="43" s="1"/>
  <c r="P98" i="4" s="1"/>
  <c r="I141" i="43"/>
  <c r="L141" i="43" s="1"/>
  <c r="P144" i="4" s="1"/>
  <c r="I15" i="43"/>
  <c r="L15" i="43" s="1"/>
  <c r="P18" i="4" s="1"/>
  <c r="I116" i="43"/>
  <c r="L116" i="43" s="1"/>
  <c r="P119" i="4" s="1"/>
  <c r="I16" i="43"/>
  <c r="L16" i="43" s="1"/>
  <c r="P19" i="4" s="1"/>
  <c r="I28" i="43"/>
  <c r="L28" i="43" s="1"/>
  <c r="P31" i="4" s="1"/>
  <c r="I21" i="43"/>
  <c r="L21" i="43" s="1"/>
  <c r="P24" i="4" s="1"/>
  <c r="I103" i="43"/>
  <c r="L103" i="43" s="1"/>
  <c r="P106" i="4" s="1"/>
  <c r="I112" i="43"/>
  <c r="L112" i="43" s="1"/>
  <c r="P115" i="4" s="1"/>
  <c r="I25" i="43"/>
  <c r="L25" i="43" s="1"/>
  <c r="P28" i="4" s="1"/>
  <c r="I54" i="43"/>
  <c r="L54" i="43" s="1"/>
  <c r="P57" i="4" s="1"/>
  <c r="I6" i="43"/>
  <c r="L6" i="43" s="1"/>
  <c r="P9" i="4" s="1"/>
  <c r="I23" i="43"/>
  <c r="L23" i="43" s="1"/>
  <c r="P26" i="4" s="1"/>
  <c r="I86" i="43"/>
  <c r="L86" i="43" s="1"/>
  <c r="P89" i="4" s="1"/>
  <c r="I162" i="43"/>
  <c r="L162" i="43" s="1"/>
  <c r="P165" i="4" s="1"/>
  <c r="I160" i="43"/>
  <c r="L160" i="43" s="1"/>
  <c r="P163" i="4" s="1"/>
  <c r="I140" i="43"/>
  <c r="L140" i="43" s="1"/>
  <c r="P143" i="4" s="1"/>
  <c r="I127" i="43"/>
  <c r="L127" i="43" s="1"/>
  <c r="P130" i="4" s="1"/>
  <c r="I167" i="43"/>
  <c r="L167" i="43" s="1"/>
  <c r="P170" i="4" s="1"/>
  <c r="I17" i="43"/>
  <c r="L17" i="43" s="1"/>
  <c r="P20" i="4" s="1"/>
  <c r="I171" i="43"/>
  <c r="L171" i="43" s="1"/>
  <c r="P174" i="4" s="1"/>
  <c r="I89" i="43"/>
  <c r="L89" i="43" s="1"/>
  <c r="P92" i="4" s="1"/>
  <c r="I132" i="43"/>
  <c r="L132" i="43" s="1"/>
  <c r="P135" i="4" s="1"/>
  <c r="I125" i="43"/>
  <c r="L125" i="43" s="1"/>
  <c r="P128" i="4" s="1"/>
  <c r="I20" i="43"/>
  <c r="L20" i="43" s="1"/>
  <c r="P23" i="4" s="1"/>
  <c r="I38" i="43"/>
  <c r="L38" i="43" s="1"/>
  <c r="P41" i="4" s="1"/>
  <c r="I166" i="43"/>
  <c r="L166" i="43" s="1"/>
  <c r="P169" i="4" s="1"/>
  <c r="I71" i="43"/>
  <c r="L71" i="43" s="1"/>
  <c r="P74" i="4" s="1"/>
  <c r="I154" i="43"/>
  <c r="L154" i="43" s="1"/>
  <c r="P157" i="4" s="1"/>
  <c r="I52" i="43"/>
  <c r="L52" i="43" s="1"/>
  <c r="P55" i="4" s="1"/>
  <c r="I59" i="43"/>
  <c r="L59" i="43" s="1"/>
  <c r="P62" i="4" s="1"/>
  <c r="I164" i="43"/>
  <c r="L164" i="43" s="1"/>
  <c r="P167" i="4" s="1"/>
  <c r="I74" i="43"/>
  <c r="L74" i="43" s="1"/>
  <c r="P77" i="4" s="1"/>
  <c r="I79" i="43"/>
  <c r="L79" i="43" s="1"/>
  <c r="P82" i="4" s="1"/>
  <c r="I139" i="43"/>
  <c r="L139" i="43" s="1"/>
  <c r="P142" i="4" s="1"/>
  <c r="I104" i="43"/>
  <c r="L104" i="43" s="1"/>
  <c r="P107" i="4" s="1"/>
  <c r="I163" i="43"/>
  <c r="L163" i="43" s="1"/>
  <c r="P166" i="4" s="1"/>
  <c r="I24" i="43"/>
  <c r="L24" i="43" s="1"/>
  <c r="P27" i="4" s="1"/>
  <c r="I62" i="43"/>
  <c r="L62" i="43" s="1"/>
  <c r="P65" i="4" s="1"/>
  <c r="I111" i="43"/>
  <c r="L111" i="43" s="1"/>
  <c r="P114" i="4" s="1"/>
  <c r="I84" i="43"/>
  <c r="L84" i="43" s="1"/>
  <c r="P87" i="4" s="1"/>
  <c r="I7" i="43"/>
  <c r="L7" i="43" s="1"/>
  <c r="P10" i="4" s="1"/>
  <c r="I123" i="43"/>
  <c r="L123" i="43" s="1"/>
  <c r="P126" i="4" s="1"/>
  <c r="I144" i="43"/>
  <c r="L144" i="43" s="1"/>
  <c r="P147" i="4" s="1"/>
  <c r="I29" i="43"/>
  <c r="L29" i="43" s="1"/>
  <c r="P32" i="4" s="1"/>
  <c r="I157" i="43"/>
  <c r="L157" i="43" s="1"/>
  <c r="P160" i="4" s="1"/>
  <c r="I146" i="43"/>
  <c r="L146" i="43" s="1"/>
  <c r="P149" i="4" s="1"/>
  <c r="I53" i="43"/>
  <c r="L53" i="43" s="1"/>
  <c r="P56" i="4" s="1"/>
  <c r="I32" i="43"/>
  <c r="L32" i="43" s="1"/>
  <c r="P35" i="4" s="1"/>
  <c r="I41" i="43"/>
  <c r="L41" i="43" s="1"/>
  <c r="P44" i="4" s="1"/>
  <c r="I158" i="43"/>
  <c r="L158" i="43" s="1"/>
  <c r="P161" i="4" s="1"/>
  <c r="I72" i="43"/>
  <c r="L72" i="43" s="1"/>
  <c r="P75" i="4" s="1"/>
  <c r="I68" i="43"/>
  <c r="L68" i="43" s="1"/>
  <c r="P71" i="4" s="1"/>
  <c r="I64" i="43"/>
  <c r="L64" i="43" s="1"/>
  <c r="P67" i="4" s="1"/>
  <c r="I73" i="43"/>
  <c r="L73" i="43" s="1"/>
  <c r="P76" i="4" s="1"/>
  <c r="I96" i="43"/>
  <c r="L96" i="43" s="1"/>
  <c r="P99" i="4" s="1"/>
  <c r="I80" i="43"/>
  <c r="L80" i="43" s="1"/>
  <c r="P83" i="4" s="1"/>
  <c r="I85" i="43"/>
  <c r="L85" i="43" s="1"/>
  <c r="P88" i="4" s="1"/>
  <c r="I152" i="43"/>
  <c r="L152" i="43" s="1"/>
  <c r="P155" i="4" s="1"/>
  <c r="I145" i="43"/>
  <c r="L145" i="43" s="1"/>
  <c r="P148" i="4" s="1"/>
  <c r="I106" i="43"/>
  <c r="L106" i="43" s="1"/>
  <c r="P109" i="4" s="1"/>
  <c r="I33" i="43"/>
  <c r="L33" i="43" s="1"/>
  <c r="P36" i="4" s="1"/>
  <c r="I115" i="43"/>
  <c r="L115" i="43" s="1"/>
  <c r="P118" i="4" s="1"/>
  <c r="G200" i="43"/>
  <c r="I3" i="43"/>
  <c r="I176" i="43"/>
  <c r="L176" i="43" s="1"/>
  <c r="P179" i="4" s="1"/>
  <c r="I150" i="43"/>
  <c r="L150" i="43" s="1"/>
  <c r="P153" i="4" s="1"/>
  <c r="I46" i="43"/>
  <c r="L46" i="43" s="1"/>
  <c r="P49" i="4" s="1"/>
  <c r="I87" i="43"/>
  <c r="L87" i="43" s="1"/>
  <c r="P90" i="4" s="1"/>
  <c r="I174" i="43"/>
  <c r="L174" i="43" s="1"/>
  <c r="P177" i="4" s="1"/>
  <c r="I42" i="43"/>
  <c r="L42" i="43" s="1"/>
  <c r="P45" i="4" s="1"/>
  <c r="I129" i="43"/>
  <c r="L129" i="43" s="1"/>
  <c r="P132" i="4" s="1"/>
  <c r="I22" i="43"/>
  <c r="L22" i="43" s="1"/>
  <c r="P25" i="4" s="1"/>
  <c r="I5" i="43"/>
  <c r="L5" i="43" s="1"/>
  <c r="P8" i="4" s="1"/>
  <c r="I118" i="43"/>
  <c r="L118" i="43" s="1"/>
  <c r="P121" i="4" s="1"/>
  <c r="I180" i="43"/>
  <c r="L180" i="43" s="1"/>
  <c r="P183" i="4" s="1"/>
  <c r="I101" i="43"/>
  <c r="L101" i="43" s="1"/>
  <c r="P104" i="4" s="1"/>
  <c r="I51" i="43"/>
  <c r="L51" i="43" s="1"/>
  <c r="P54" i="4" s="1"/>
  <c r="I97" i="43"/>
  <c r="L97" i="43" s="1"/>
  <c r="P100" i="4" s="1"/>
  <c r="I138" i="43"/>
  <c r="L138" i="43" s="1"/>
  <c r="P141" i="4" s="1"/>
  <c r="I179" i="43"/>
  <c r="L179" i="43" s="1"/>
  <c r="P182" i="4" s="1"/>
  <c r="I77" i="43"/>
  <c r="L77" i="43" s="1"/>
  <c r="P80" i="4" s="1"/>
  <c r="I149" i="43"/>
  <c r="L149" i="43" s="1"/>
  <c r="P152" i="4" s="1"/>
  <c r="I58" i="43"/>
  <c r="L58" i="43" s="1"/>
  <c r="P61" i="4" s="1"/>
  <c r="I14" i="43"/>
  <c r="L14" i="43" s="1"/>
  <c r="P17" i="4" s="1"/>
  <c r="I31" i="43"/>
  <c r="L31" i="43" s="1"/>
  <c r="P34" i="4" s="1"/>
  <c r="I159" i="43"/>
  <c r="L159" i="43" s="1"/>
  <c r="P162" i="4" s="1"/>
  <c r="I69" i="43"/>
  <c r="L69" i="43" s="1"/>
  <c r="P72" i="4" s="1"/>
  <c r="I151" i="43"/>
  <c r="L151" i="43" s="1"/>
  <c r="P154" i="4" s="1"/>
  <c r="I56" i="43"/>
  <c r="L56" i="43" s="1"/>
  <c r="P59" i="4" s="1"/>
  <c r="I147" i="43"/>
  <c r="L147" i="43" s="1"/>
  <c r="P150" i="4" s="1"/>
  <c r="H183" i="43"/>
  <c r="I183" i="43" s="1"/>
  <c r="I109" i="43"/>
  <c r="L109" i="43" s="1"/>
  <c r="P112" i="4" s="1"/>
  <c r="I30" i="43"/>
  <c r="L30" i="43" s="1"/>
  <c r="P33" i="4" s="1"/>
  <c r="I26" i="43"/>
  <c r="L26" i="43" s="1"/>
  <c r="P29" i="4" s="1"/>
  <c r="I67" i="43"/>
  <c r="L67" i="43" s="1"/>
  <c r="P70" i="4" s="1"/>
  <c r="I113" i="43"/>
  <c r="L113" i="43" s="1"/>
  <c r="P116" i="4" s="1"/>
  <c r="I57" i="43"/>
  <c r="L57" i="43" s="1"/>
  <c r="P60" i="4" s="1"/>
  <c r="I108" i="43"/>
  <c r="L108" i="43" s="1"/>
  <c r="P111" i="4" s="1"/>
  <c r="I63" i="43"/>
  <c r="L63" i="43" s="1"/>
  <c r="P66" i="4" s="1"/>
  <c r="I78" i="43"/>
  <c r="L78" i="43" s="1"/>
  <c r="P81" i="4" s="1"/>
  <c r="I119" i="43"/>
  <c r="L119" i="43" s="1"/>
  <c r="P122" i="4" s="1"/>
  <c r="I165" i="43"/>
  <c r="L165" i="43" s="1"/>
  <c r="P168" i="4" s="1"/>
  <c r="I88" i="43"/>
  <c r="L88" i="43" s="1"/>
  <c r="P91" i="4" s="1"/>
  <c r="I161" i="43"/>
  <c r="L161" i="43" s="1"/>
  <c r="P164" i="4" s="1"/>
  <c r="G180" i="42"/>
  <c r="G176" i="42"/>
  <c r="G172" i="42"/>
  <c r="G168" i="42"/>
  <c r="G164" i="42"/>
  <c r="G160" i="42"/>
  <c r="G156" i="42"/>
  <c r="G152" i="42"/>
  <c r="G148" i="42"/>
  <c r="G144" i="42"/>
  <c r="G140" i="42"/>
  <c r="G136" i="42"/>
  <c r="G132" i="42"/>
  <c r="G128" i="42"/>
  <c r="G124" i="42"/>
  <c r="G120" i="42"/>
  <c r="G116" i="42"/>
  <c r="G112" i="42"/>
  <c r="G108" i="42"/>
  <c r="G183" i="42"/>
  <c r="G179" i="42"/>
  <c r="G175" i="42"/>
  <c r="G171" i="42"/>
  <c r="G167" i="42"/>
  <c r="G163" i="42"/>
  <c r="G159" i="42"/>
  <c r="G155" i="42"/>
  <c r="G151" i="42"/>
  <c r="G147" i="42"/>
  <c r="G143" i="42"/>
  <c r="G139" i="42"/>
  <c r="G135" i="42"/>
  <c r="G131" i="42"/>
  <c r="G127" i="42"/>
  <c r="G123" i="42"/>
  <c r="G119" i="42"/>
  <c r="G115" i="42"/>
  <c r="G178" i="42"/>
  <c r="G157" i="42"/>
  <c r="G146" i="42"/>
  <c r="G125" i="42"/>
  <c r="G114" i="42"/>
  <c r="G100" i="42"/>
  <c r="G174" i="42"/>
  <c r="G153" i="42"/>
  <c r="G142" i="42"/>
  <c r="G121" i="42"/>
  <c r="G104" i="42"/>
  <c r="G97" i="42"/>
  <c r="G93" i="42"/>
  <c r="G89" i="42"/>
  <c r="G85" i="42"/>
  <c r="G81" i="42"/>
  <c r="G77" i="42"/>
  <c r="G73" i="42"/>
  <c r="G69" i="42"/>
  <c r="G65" i="42"/>
  <c r="G61" i="42"/>
  <c r="G57" i="42"/>
  <c r="G53" i="42"/>
  <c r="G49" i="42"/>
  <c r="G45" i="42"/>
  <c r="G41" i="42"/>
  <c r="G37" i="42"/>
  <c r="G33" i="42"/>
  <c r="G181" i="42"/>
  <c r="G170" i="42"/>
  <c r="G149" i="42"/>
  <c r="G138" i="42"/>
  <c r="G117" i="42"/>
  <c r="G107" i="42"/>
  <c r="G101" i="42"/>
  <c r="G177" i="42"/>
  <c r="G166" i="42"/>
  <c r="G145" i="42"/>
  <c r="G134" i="42"/>
  <c r="G113" i="42"/>
  <c r="G110" i="42"/>
  <c r="G105" i="42"/>
  <c r="G94" i="42"/>
  <c r="G90" i="42"/>
  <c r="G86" i="42"/>
  <c r="G82" i="42"/>
  <c r="G78" i="42"/>
  <c r="G74" i="42"/>
  <c r="G70" i="42"/>
  <c r="G66" i="42"/>
  <c r="G62" i="42"/>
  <c r="G58" i="42"/>
  <c r="G54" i="42"/>
  <c r="G50" i="42"/>
  <c r="G46" i="42"/>
  <c r="G42" i="42"/>
  <c r="G38" i="42"/>
  <c r="G34" i="42"/>
  <c r="G30" i="42"/>
  <c r="G26" i="42"/>
  <c r="G173" i="42"/>
  <c r="G162" i="42"/>
  <c r="G141" i="42"/>
  <c r="G130" i="42"/>
  <c r="G98" i="42"/>
  <c r="G165" i="42"/>
  <c r="G154" i="42"/>
  <c r="G133" i="42"/>
  <c r="G122" i="42"/>
  <c r="G111" i="42"/>
  <c r="G99" i="42"/>
  <c r="G129" i="42"/>
  <c r="G103" i="42"/>
  <c r="G88" i="42"/>
  <c r="G79" i="42"/>
  <c r="G60" i="42"/>
  <c r="G36" i="42"/>
  <c r="G29" i="42"/>
  <c r="G126" i="42"/>
  <c r="G83" i="42"/>
  <c r="G64" i="42"/>
  <c r="G51" i="42"/>
  <c r="G47" i="42"/>
  <c r="G23" i="42"/>
  <c r="G19" i="42"/>
  <c r="G15" i="42"/>
  <c r="G11" i="42"/>
  <c r="G7" i="42"/>
  <c r="G35" i="42"/>
  <c r="G22" i="42"/>
  <c r="G182" i="42"/>
  <c r="G169" i="42"/>
  <c r="G92" i="42"/>
  <c r="G68" i="42"/>
  <c r="G55" i="42"/>
  <c r="G43" i="42"/>
  <c r="G32" i="42"/>
  <c r="G27" i="42"/>
  <c r="I1" i="42"/>
  <c r="I184" i="42" s="1"/>
  <c r="G150" i="42"/>
  <c r="G102" i="42"/>
  <c r="G87" i="42"/>
  <c r="G72" i="42"/>
  <c r="G59" i="42"/>
  <c r="G39" i="42"/>
  <c r="G24" i="42"/>
  <c r="G20" i="42"/>
  <c r="G16" i="42"/>
  <c r="G12" i="42"/>
  <c r="G8" i="42"/>
  <c r="G4" i="42"/>
  <c r="G137" i="42"/>
  <c r="G96" i="42"/>
  <c r="G76" i="42"/>
  <c r="G63" i="42"/>
  <c r="G91" i="42"/>
  <c r="G80" i="42"/>
  <c r="G67" i="42"/>
  <c r="G48" i="42"/>
  <c r="G28" i="42"/>
  <c r="G25" i="42"/>
  <c r="G21" i="42"/>
  <c r="G17" i="42"/>
  <c r="G13" i="42"/>
  <c r="G9" i="42"/>
  <c r="G5" i="42"/>
  <c r="G44" i="42"/>
  <c r="G95" i="42"/>
  <c r="G161" i="42"/>
  <c r="G118" i="42"/>
  <c r="G109" i="42"/>
  <c r="G106" i="42"/>
  <c r="G84" i="42"/>
  <c r="G71" i="42"/>
  <c r="G52" i="42"/>
  <c r="G31" i="42"/>
  <c r="G158" i="42"/>
  <c r="G75" i="42"/>
  <c r="G56" i="42"/>
  <c r="G40" i="42"/>
  <c r="G18" i="42"/>
  <c r="G14" i="42"/>
  <c r="G10" i="42"/>
  <c r="G6" i="42"/>
  <c r="G195" i="42"/>
  <c r="H181" i="42"/>
  <c r="H177" i="42"/>
  <c r="H173" i="42"/>
  <c r="H169" i="42"/>
  <c r="H165" i="42"/>
  <c r="H161" i="42"/>
  <c r="H157" i="42"/>
  <c r="H153" i="42"/>
  <c r="H149" i="42"/>
  <c r="H145" i="42"/>
  <c r="H141" i="42"/>
  <c r="H137" i="42"/>
  <c r="H133" i="42"/>
  <c r="H129" i="42"/>
  <c r="H125" i="42"/>
  <c r="H121" i="42"/>
  <c r="H117" i="42"/>
  <c r="H113" i="42"/>
  <c r="H109" i="42"/>
  <c r="H105" i="42"/>
  <c r="H101" i="42"/>
  <c r="H97" i="42"/>
  <c r="H174" i="42"/>
  <c r="H172" i="42"/>
  <c r="H159" i="42"/>
  <c r="H142" i="42"/>
  <c r="H140" i="42"/>
  <c r="H127" i="42"/>
  <c r="H112" i="42"/>
  <c r="H104" i="42"/>
  <c r="H93" i="42"/>
  <c r="H89" i="42"/>
  <c r="H85" i="42"/>
  <c r="H81" i="42"/>
  <c r="H77" i="42"/>
  <c r="H73" i="42"/>
  <c r="H69" i="42"/>
  <c r="H65" i="42"/>
  <c r="H61" i="42"/>
  <c r="H57" i="42"/>
  <c r="H53" i="42"/>
  <c r="H49" i="42"/>
  <c r="H170" i="42"/>
  <c r="H168" i="42"/>
  <c r="H155" i="42"/>
  <c r="H138" i="42"/>
  <c r="H136" i="42"/>
  <c r="H123" i="42"/>
  <c r="H107" i="42"/>
  <c r="H166" i="42"/>
  <c r="H164" i="42"/>
  <c r="H151" i="42"/>
  <c r="H134" i="42"/>
  <c r="H132" i="42"/>
  <c r="H119" i="42"/>
  <c r="H110" i="42"/>
  <c r="H94" i="42"/>
  <c r="H90" i="42"/>
  <c r="H86" i="42"/>
  <c r="H179" i="42"/>
  <c r="H162" i="42"/>
  <c r="H160" i="42"/>
  <c r="H147" i="42"/>
  <c r="H130" i="42"/>
  <c r="H128" i="42"/>
  <c r="H115" i="42"/>
  <c r="H98" i="42"/>
  <c r="H175" i="42"/>
  <c r="H158" i="42"/>
  <c r="H156" i="42"/>
  <c r="H143" i="42"/>
  <c r="H126" i="42"/>
  <c r="H124" i="42"/>
  <c r="H108" i="42"/>
  <c r="H102" i="42"/>
  <c r="H95" i="42"/>
  <c r="H91" i="42"/>
  <c r="H87" i="42"/>
  <c r="H83" i="42"/>
  <c r="H79" i="42"/>
  <c r="H75" i="42"/>
  <c r="H71" i="42"/>
  <c r="H67" i="42"/>
  <c r="H63" i="42"/>
  <c r="H59" i="42"/>
  <c r="H55" i="42"/>
  <c r="H51" i="42"/>
  <c r="H182" i="42"/>
  <c r="H180" i="42"/>
  <c r="H167" i="42"/>
  <c r="H150" i="42"/>
  <c r="H148" i="42"/>
  <c r="H135" i="42"/>
  <c r="H118" i="42"/>
  <c r="H116" i="42"/>
  <c r="H106" i="42"/>
  <c r="H103" i="42"/>
  <c r="H96" i="42"/>
  <c r="H92" i="42"/>
  <c r="H88" i="42"/>
  <c r="H84" i="42"/>
  <c r="H80" i="42"/>
  <c r="H76" i="42"/>
  <c r="H72" i="42"/>
  <c r="H68" i="42"/>
  <c r="H64" i="42"/>
  <c r="H60" i="42"/>
  <c r="H56" i="42"/>
  <c r="H52" i="42"/>
  <c r="H48" i="42"/>
  <c r="H44" i="42"/>
  <c r="H40" i="42"/>
  <c r="H36" i="42"/>
  <c r="H154" i="42"/>
  <c r="H111" i="42"/>
  <c r="H62" i="42"/>
  <c r="H47" i="42"/>
  <c r="H34" i="42"/>
  <c r="H23" i="42"/>
  <c r="H19" i="42"/>
  <c r="H15" i="42"/>
  <c r="H11" i="42"/>
  <c r="H7" i="42"/>
  <c r="H9" i="42"/>
  <c r="H5" i="42"/>
  <c r="H176" i="42"/>
  <c r="H163" i="42"/>
  <c r="H100" i="42"/>
  <c r="H66" i="42"/>
  <c r="H43" i="42"/>
  <c r="H32" i="42"/>
  <c r="H27" i="42"/>
  <c r="H13" i="42"/>
  <c r="H122" i="42"/>
  <c r="H70" i="42"/>
  <c r="H45" i="42"/>
  <c r="H39" i="42"/>
  <c r="H30" i="42"/>
  <c r="H24" i="42"/>
  <c r="H20" i="42"/>
  <c r="H16" i="42"/>
  <c r="H12" i="42"/>
  <c r="H8" i="42"/>
  <c r="H4" i="42"/>
  <c r="H37" i="42"/>
  <c r="H25" i="42"/>
  <c r="H21" i="42"/>
  <c r="H17" i="42"/>
  <c r="H26" i="42"/>
  <c r="H178" i="42"/>
  <c r="H144" i="42"/>
  <c r="H131" i="42"/>
  <c r="H74" i="42"/>
  <c r="H41" i="42"/>
  <c r="H35" i="42"/>
  <c r="H99" i="42"/>
  <c r="H78" i="42"/>
  <c r="H28" i="42"/>
  <c r="H171" i="42"/>
  <c r="H152" i="42"/>
  <c r="H146" i="42"/>
  <c r="H82" i="42"/>
  <c r="H50" i="42"/>
  <c r="H46" i="42"/>
  <c r="H33" i="42"/>
  <c r="H31" i="42"/>
  <c r="H18" i="42"/>
  <c r="H14" i="42"/>
  <c r="H10" i="42"/>
  <c r="H6" i="42"/>
  <c r="H139" i="42"/>
  <c r="H38" i="42"/>
  <c r="H54" i="42"/>
  <c r="H42" i="42"/>
  <c r="H22" i="42"/>
  <c r="H120" i="42"/>
  <c r="H114" i="42"/>
  <c r="H58" i="42"/>
  <c r="H29" i="42"/>
  <c r="I1" i="41"/>
  <c r="I184" i="41" s="1"/>
  <c r="G181" i="41"/>
  <c r="G177" i="41"/>
  <c r="G173" i="41"/>
  <c r="G169" i="41"/>
  <c r="G165" i="41"/>
  <c r="G161" i="41"/>
  <c r="G157" i="41"/>
  <c r="G153" i="41"/>
  <c r="G149" i="41"/>
  <c r="G145" i="41"/>
  <c r="G141" i="41"/>
  <c r="G137" i="41"/>
  <c r="G133" i="41"/>
  <c r="G129" i="41"/>
  <c r="G125" i="41"/>
  <c r="G121" i="41"/>
  <c r="G117" i="41"/>
  <c r="G113" i="41"/>
  <c r="G109" i="41"/>
  <c r="G105" i="41"/>
  <c r="G182" i="41"/>
  <c r="G178" i="41"/>
  <c r="G174" i="41"/>
  <c r="G170" i="41"/>
  <c r="G166" i="41"/>
  <c r="G162" i="41"/>
  <c r="G158" i="41"/>
  <c r="G154" i="41"/>
  <c r="G150" i="41"/>
  <c r="G146" i="41"/>
  <c r="G142" i="41"/>
  <c r="G138" i="41"/>
  <c r="G134" i="41"/>
  <c r="G130" i="41"/>
  <c r="G126" i="41"/>
  <c r="G122" i="41"/>
  <c r="G118" i="41"/>
  <c r="G114" i="41"/>
  <c r="G110" i="41"/>
  <c r="G106" i="41"/>
  <c r="G183" i="41"/>
  <c r="G179" i="41"/>
  <c r="G175" i="41"/>
  <c r="G171" i="41"/>
  <c r="G167" i="41"/>
  <c r="G163" i="41"/>
  <c r="G159" i="41"/>
  <c r="G155" i="41"/>
  <c r="G151" i="41"/>
  <c r="G147" i="41"/>
  <c r="G143" i="41"/>
  <c r="G139" i="41"/>
  <c r="G135" i="41"/>
  <c r="G131" i="41"/>
  <c r="G127" i="41"/>
  <c r="G123" i="41"/>
  <c r="G119" i="41"/>
  <c r="G115" i="41"/>
  <c r="G111" i="41"/>
  <c r="G107" i="41"/>
  <c r="G103" i="41"/>
  <c r="G160" i="41"/>
  <c r="G128" i="41"/>
  <c r="G87" i="41"/>
  <c r="G172" i="41"/>
  <c r="G140" i="41"/>
  <c r="G108" i="41"/>
  <c r="G100" i="41"/>
  <c r="G97" i="41"/>
  <c r="G94" i="41"/>
  <c r="G84" i="41"/>
  <c r="G81" i="41"/>
  <c r="G77" i="41"/>
  <c r="G73" i="41"/>
  <c r="G69" i="41"/>
  <c r="G65" i="41"/>
  <c r="G61" i="41"/>
  <c r="G57" i="41"/>
  <c r="G53" i="41"/>
  <c r="G49" i="41"/>
  <c r="G45" i="41"/>
  <c r="G41" i="41"/>
  <c r="G37" i="41"/>
  <c r="G33" i="41"/>
  <c r="G29" i="41"/>
  <c r="G25" i="41"/>
  <c r="G21" i="41"/>
  <c r="G17" i="41"/>
  <c r="G13" i="41"/>
  <c r="G152" i="41"/>
  <c r="G120" i="41"/>
  <c r="G91" i="41"/>
  <c r="G164" i="41"/>
  <c r="G132" i="41"/>
  <c r="G101" i="41"/>
  <c r="G98" i="41"/>
  <c r="G88" i="41"/>
  <c r="G85" i="41"/>
  <c r="G82" i="41"/>
  <c r="G78" i="41"/>
  <c r="G74" i="41"/>
  <c r="G70" i="41"/>
  <c r="G66" i="41"/>
  <c r="G62" i="41"/>
  <c r="G58" i="41"/>
  <c r="G54" i="41"/>
  <c r="G50" i="41"/>
  <c r="G46" i="41"/>
  <c r="G42" i="41"/>
  <c r="G38" i="41"/>
  <c r="G34" i="41"/>
  <c r="G30" i="41"/>
  <c r="G26" i="41"/>
  <c r="G22" i="41"/>
  <c r="G176" i="41"/>
  <c r="G144" i="41"/>
  <c r="G112" i="41"/>
  <c r="G95" i="41"/>
  <c r="G156" i="41"/>
  <c r="G90" i="41"/>
  <c r="G83" i="41"/>
  <c r="G68" i="41"/>
  <c r="G55" i="41"/>
  <c r="G43" i="41"/>
  <c r="G32" i="41"/>
  <c r="G23" i="41"/>
  <c r="G18" i="41"/>
  <c r="G15" i="41"/>
  <c r="G12" i="41"/>
  <c r="G104" i="41"/>
  <c r="G99" i="41"/>
  <c r="G92" i="41"/>
  <c r="G72" i="41"/>
  <c r="G59" i="41"/>
  <c r="G39" i="41"/>
  <c r="G9" i="41"/>
  <c r="G5" i="41"/>
  <c r="G136" i="41"/>
  <c r="G76" i="41"/>
  <c r="G63" i="41"/>
  <c r="G35" i="41"/>
  <c r="G28" i="41"/>
  <c r="G168" i="41"/>
  <c r="G89" i="41"/>
  <c r="G80" i="41"/>
  <c r="G67" i="41"/>
  <c r="G19" i="41"/>
  <c r="G16" i="41"/>
  <c r="G10" i="41"/>
  <c r="G6" i="41"/>
  <c r="G116" i="41"/>
  <c r="G96" i="41"/>
  <c r="G71" i="41"/>
  <c r="G52" i="41"/>
  <c r="G48" i="41"/>
  <c r="G44" i="41"/>
  <c r="G31" i="41"/>
  <c r="G24" i="41"/>
  <c r="G3" i="41"/>
  <c r="G180" i="41"/>
  <c r="G60" i="41"/>
  <c r="G124" i="41"/>
  <c r="G93" i="41"/>
  <c r="G36" i="41"/>
  <c r="G14" i="41"/>
  <c r="G64" i="41"/>
  <c r="G51" i="41"/>
  <c r="G8" i="41"/>
  <c r="G102" i="41"/>
  <c r="G86" i="41"/>
  <c r="G56" i="41"/>
  <c r="G47" i="41"/>
  <c r="G27" i="41"/>
  <c r="G7" i="41"/>
  <c r="G11" i="41"/>
  <c r="G79" i="41"/>
  <c r="G40" i="41"/>
  <c r="G148" i="41"/>
  <c r="G75" i="41"/>
  <c r="G20" i="41"/>
  <c r="G4" i="41"/>
  <c r="H182" i="41"/>
  <c r="H178" i="41"/>
  <c r="H174" i="41"/>
  <c r="H170" i="41"/>
  <c r="H166" i="41"/>
  <c r="H162" i="41"/>
  <c r="H158" i="41"/>
  <c r="H154" i="41"/>
  <c r="H150" i="41"/>
  <c r="H146" i="41"/>
  <c r="H142" i="41"/>
  <c r="H138" i="41"/>
  <c r="H134" i="41"/>
  <c r="H130" i="41"/>
  <c r="H126" i="41"/>
  <c r="H122" i="41"/>
  <c r="H118" i="41"/>
  <c r="H114" i="41"/>
  <c r="H110" i="41"/>
  <c r="H106" i="41"/>
  <c r="H102" i="41"/>
  <c r="H98" i="41"/>
  <c r="H94" i="41"/>
  <c r="H90" i="41"/>
  <c r="H86" i="41"/>
  <c r="H82" i="41"/>
  <c r="H179" i="41"/>
  <c r="H175" i="41"/>
  <c r="H171" i="41"/>
  <c r="H167" i="41"/>
  <c r="H163" i="41"/>
  <c r="H159" i="41"/>
  <c r="H155" i="41"/>
  <c r="H151" i="41"/>
  <c r="H147" i="41"/>
  <c r="H143" i="41"/>
  <c r="H139" i="41"/>
  <c r="H135" i="41"/>
  <c r="H131" i="41"/>
  <c r="H127" i="41"/>
  <c r="H123" i="41"/>
  <c r="H119" i="41"/>
  <c r="H115" i="41"/>
  <c r="H111" i="41"/>
  <c r="H107" i="41"/>
  <c r="H103" i="41"/>
  <c r="H99" i="41"/>
  <c r="H95" i="41"/>
  <c r="H91" i="41"/>
  <c r="H87" i="41"/>
  <c r="H83" i="41"/>
  <c r="H177" i="41"/>
  <c r="H172" i="41"/>
  <c r="H145" i="41"/>
  <c r="H140" i="41"/>
  <c r="H113" i="41"/>
  <c r="H108" i="41"/>
  <c r="H100" i="41"/>
  <c r="H97" i="41"/>
  <c r="H84" i="41"/>
  <c r="H81" i="41"/>
  <c r="H77" i="41"/>
  <c r="H73" i="41"/>
  <c r="H69" i="41"/>
  <c r="H65" i="41"/>
  <c r="H61" i="41"/>
  <c r="H57" i="41"/>
  <c r="H53" i="41"/>
  <c r="H49" i="41"/>
  <c r="H45" i="41"/>
  <c r="H41" i="41"/>
  <c r="H37" i="41"/>
  <c r="H157" i="41"/>
  <c r="H152" i="41"/>
  <c r="H125" i="41"/>
  <c r="H120" i="41"/>
  <c r="H169" i="41"/>
  <c r="H164" i="41"/>
  <c r="H137" i="41"/>
  <c r="H132" i="41"/>
  <c r="H105" i="41"/>
  <c r="H101" i="41"/>
  <c r="H88" i="41"/>
  <c r="H85" i="41"/>
  <c r="H78" i="41"/>
  <c r="H74" i="41"/>
  <c r="H70" i="41"/>
  <c r="H66" i="41"/>
  <c r="H62" i="41"/>
  <c r="H58" i="41"/>
  <c r="H54" i="41"/>
  <c r="H176" i="41"/>
  <c r="H149" i="41"/>
  <c r="H144" i="41"/>
  <c r="H117" i="41"/>
  <c r="H112" i="41"/>
  <c r="H161" i="41"/>
  <c r="H156" i="41"/>
  <c r="H129" i="41"/>
  <c r="H124" i="41"/>
  <c r="H92" i="41"/>
  <c r="H89" i="41"/>
  <c r="H79" i="41"/>
  <c r="H75" i="41"/>
  <c r="H71" i="41"/>
  <c r="H67" i="41"/>
  <c r="H63" i="41"/>
  <c r="H59" i="41"/>
  <c r="H55" i="41"/>
  <c r="H51" i="41"/>
  <c r="H47" i="41"/>
  <c r="H153" i="41"/>
  <c r="H104" i="41"/>
  <c r="H72" i="41"/>
  <c r="H39" i="41"/>
  <c r="H30" i="41"/>
  <c r="H9" i="41"/>
  <c r="H5" i="41"/>
  <c r="H136" i="41"/>
  <c r="H76" i="41"/>
  <c r="H35" i="41"/>
  <c r="H28" i="41"/>
  <c r="H21" i="41"/>
  <c r="H168" i="41"/>
  <c r="H133" i="41"/>
  <c r="H80" i="41"/>
  <c r="H26" i="41"/>
  <c r="H19" i="41"/>
  <c r="H16" i="41"/>
  <c r="H13" i="41"/>
  <c r="H10" i="41"/>
  <c r="H6" i="41"/>
  <c r="H165" i="41"/>
  <c r="H116" i="41"/>
  <c r="H96" i="41"/>
  <c r="H52" i="41"/>
  <c r="H50" i="41"/>
  <c r="H48" i="41"/>
  <c r="H46" i="41"/>
  <c r="H44" i="41"/>
  <c r="H33" i="41"/>
  <c r="H31" i="41"/>
  <c r="H24" i="41"/>
  <c r="H3" i="41"/>
  <c r="H148" i="41"/>
  <c r="H109" i="41"/>
  <c r="H56" i="41"/>
  <c r="H42" i="41"/>
  <c r="H40" i="41"/>
  <c r="H22" i="41"/>
  <c r="H14" i="41"/>
  <c r="H11" i="41"/>
  <c r="H7" i="41"/>
  <c r="H173" i="41"/>
  <c r="H128" i="41"/>
  <c r="H93" i="41"/>
  <c r="H36" i="41"/>
  <c r="H25" i="41"/>
  <c r="H12" i="41"/>
  <c r="H121" i="41"/>
  <c r="H68" i="41"/>
  <c r="H27" i="41"/>
  <c r="H141" i="41"/>
  <c r="H15" i="41"/>
  <c r="H180" i="41"/>
  <c r="H60" i="41"/>
  <c r="H17" i="41"/>
  <c r="H38" i="41"/>
  <c r="H23" i="41"/>
  <c r="H160" i="41"/>
  <c r="H43" i="41"/>
  <c r="H20" i="41"/>
  <c r="H4" i="41"/>
  <c r="H64" i="41"/>
  <c r="H32" i="41"/>
  <c r="H29" i="41"/>
  <c r="H18" i="41"/>
  <c r="H34" i="41"/>
  <c r="H8" i="41"/>
  <c r="G195" i="41"/>
  <c r="H183" i="40"/>
  <c r="G182" i="40"/>
  <c r="I182" i="40" s="1"/>
  <c r="L182" i="40" s="1"/>
  <c r="G185" i="4" s="1"/>
  <c r="G178" i="40"/>
  <c r="I178" i="40" s="1"/>
  <c r="L178" i="40" s="1"/>
  <c r="G181" i="4" s="1"/>
  <c r="G174" i="40"/>
  <c r="I174" i="40" s="1"/>
  <c r="L174" i="40" s="1"/>
  <c r="G177" i="4" s="1"/>
  <c r="G170" i="40"/>
  <c r="I170" i="40" s="1"/>
  <c r="L170" i="40" s="1"/>
  <c r="G173" i="4" s="1"/>
  <c r="G166" i="40"/>
  <c r="I166" i="40" s="1"/>
  <c r="L166" i="40" s="1"/>
  <c r="G169" i="4" s="1"/>
  <c r="G162" i="40"/>
  <c r="I162" i="40" s="1"/>
  <c r="L162" i="40" s="1"/>
  <c r="G165" i="4" s="1"/>
  <c r="G158" i="40"/>
  <c r="I158" i="40" s="1"/>
  <c r="L158" i="40" s="1"/>
  <c r="G161" i="4" s="1"/>
  <c r="G154" i="40"/>
  <c r="I154" i="40" s="1"/>
  <c r="L154" i="40" s="1"/>
  <c r="G157" i="4" s="1"/>
  <c r="G150" i="40"/>
  <c r="I150" i="40" s="1"/>
  <c r="L150" i="40" s="1"/>
  <c r="G153" i="4" s="1"/>
  <c r="G146" i="40"/>
  <c r="I146" i="40" s="1"/>
  <c r="L146" i="40" s="1"/>
  <c r="G149" i="4" s="1"/>
  <c r="G142" i="40"/>
  <c r="I142" i="40" s="1"/>
  <c r="L142" i="40" s="1"/>
  <c r="G145" i="4" s="1"/>
  <c r="G138" i="40"/>
  <c r="I138" i="40" s="1"/>
  <c r="L138" i="40" s="1"/>
  <c r="G141" i="4" s="1"/>
  <c r="G134" i="40"/>
  <c r="I134" i="40" s="1"/>
  <c r="L134" i="40" s="1"/>
  <c r="G137" i="4" s="1"/>
  <c r="G130" i="40"/>
  <c r="I130" i="40" s="1"/>
  <c r="L130" i="40" s="1"/>
  <c r="G133" i="4" s="1"/>
  <c r="G126" i="40"/>
  <c r="I126" i="40" s="1"/>
  <c r="L126" i="40" s="1"/>
  <c r="G129" i="4" s="1"/>
  <c r="G122" i="40"/>
  <c r="I122" i="40" s="1"/>
  <c r="L122" i="40" s="1"/>
  <c r="G125" i="4" s="1"/>
  <c r="G118" i="40"/>
  <c r="I118" i="40" s="1"/>
  <c r="L118" i="40" s="1"/>
  <c r="G121" i="4" s="1"/>
  <c r="G114" i="40"/>
  <c r="I114" i="40" s="1"/>
  <c r="L114" i="40" s="1"/>
  <c r="G117" i="4" s="1"/>
  <c r="G110" i="40"/>
  <c r="I110" i="40" s="1"/>
  <c r="L110" i="40" s="1"/>
  <c r="G113" i="4" s="1"/>
  <c r="G106" i="40"/>
  <c r="I106" i="40" s="1"/>
  <c r="L106" i="40" s="1"/>
  <c r="G109" i="4" s="1"/>
  <c r="G102" i="40"/>
  <c r="I102" i="40" s="1"/>
  <c r="L102" i="40" s="1"/>
  <c r="G105" i="4" s="1"/>
  <c r="G98" i="40"/>
  <c r="I98" i="40" s="1"/>
  <c r="L98" i="40" s="1"/>
  <c r="G101" i="4" s="1"/>
  <c r="G94" i="40"/>
  <c r="I94" i="40" s="1"/>
  <c r="L94" i="40" s="1"/>
  <c r="G97" i="4" s="1"/>
  <c r="G90" i="40"/>
  <c r="I90" i="40" s="1"/>
  <c r="L90" i="40" s="1"/>
  <c r="G93" i="4" s="1"/>
  <c r="G86" i="40"/>
  <c r="I86" i="40" s="1"/>
  <c r="L86" i="40" s="1"/>
  <c r="G89" i="4" s="1"/>
  <c r="G82" i="40"/>
  <c r="I82" i="40" s="1"/>
  <c r="L82" i="40" s="1"/>
  <c r="G85" i="4" s="1"/>
  <c r="G78" i="40"/>
  <c r="I78" i="40" s="1"/>
  <c r="L78" i="40" s="1"/>
  <c r="G81" i="4" s="1"/>
  <c r="G183" i="40"/>
  <c r="G179" i="40"/>
  <c r="I179" i="40" s="1"/>
  <c r="L179" i="40" s="1"/>
  <c r="G182" i="4" s="1"/>
  <c r="G175" i="40"/>
  <c r="I175" i="40" s="1"/>
  <c r="L175" i="40" s="1"/>
  <c r="G178" i="4" s="1"/>
  <c r="G171" i="40"/>
  <c r="I171" i="40" s="1"/>
  <c r="L171" i="40" s="1"/>
  <c r="G174" i="4" s="1"/>
  <c r="G167" i="40"/>
  <c r="I167" i="40" s="1"/>
  <c r="L167" i="40" s="1"/>
  <c r="G170" i="4" s="1"/>
  <c r="G163" i="40"/>
  <c r="I163" i="40" s="1"/>
  <c r="L163" i="40" s="1"/>
  <c r="G166" i="4" s="1"/>
  <c r="G159" i="40"/>
  <c r="I159" i="40" s="1"/>
  <c r="L159" i="40" s="1"/>
  <c r="G162" i="4" s="1"/>
  <c r="G155" i="40"/>
  <c r="I155" i="40" s="1"/>
  <c r="L155" i="40" s="1"/>
  <c r="G158" i="4" s="1"/>
  <c r="G151" i="40"/>
  <c r="I151" i="40" s="1"/>
  <c r="L151" i="40" s="1"/>
  <c r="G154" i="4" s="1"/>
  <c r="I154" i="4" s="1"/>
  <c r="G147" i="40"/>
  <c r="I147" i="40" s="1"/>
  <c r="L147" i="40" s="1"/>
  <c r="G150" i="4" s="1"/>
  <c r="G143" i="40"/>
  <c r="I143" i="40" s="1"/>
  <c r="L143" i="40" s="1"/>
  <c r="G146" i="4" s="1"/>
  <c r="G139" i="40"/>
  <c r="I139" i="40" s="1"/>
  <c r="L139" i="40" s="1"/>
  <c r="G142" i="4" s="1"/>
  <c r="I142" i="4" s="1"/>
  <c r="G135" i="40"/>
  <c r="I135" i="40" s="1"/>
  <c r="L135" i="40" s="1"/>
  <c r="G138" i="4" s="1"/>
  <c r="G131" i="40"/>
  <c r="I131" i="40" s="1"/>
  <c r="L131" i="40" s="1"/>
  <c r="G134" i="4" s="1"/>
  <c r="G127" i="40"/>
  <c r="I127" i="40" s="1"/>
  <c r="L127" i="40" s="1"/>
  <c r="G130" i="4" s="1"/>
  <c r="G123" i="40"/>
  <c r="I123" i="40" s="1"/>
  <c r="L123" i="40" s="1"/>
  <c r="G126" i="4" s="1"/>
  <c r="G119" i="40"/>
  <c r="I119" i="40" s="1"/>
  <c r="L119" i="40" s="1"/>
  <c r="G122" i="4" s="1"/>
  <c r="G115" i="40"/>
  <c r="I115" i="40" s="1"/>
  <c r="L115" i="40" s="1"/>
  <c r="G118" i="4" s="1"/>
  <c r="G111" i="40"/>
  <c r="I111" i="40" s="1"/>
  <c r="L111" i="40" s="1"/>
  <c r="G114" i="4" s="1"/>
  <c r="G107" i="40"/>
  <c r="I107" i="40" s="1"/>
  <c r="L107" i="40" s="1"/>
  <c r="G110" i="4" s="1"/>
  <c r="G103" i="40"/>
  <c r="I103" i="40" s="1"/>
  <c r="L103" i="40" s="1"/>
  <c r="G106" i="4" s="1"/>
  <c r="G99" i="40"/>
  <c r="I99" i="40" s="1"/>
  <c r="L99" i="40" s="1"/>
  <c r="G102" i="4" s="1"/>
  <c r="G95" i="40"/>
  <c r="I95" i="40" s="1"/>
  <c r="L95" i="40" s="1"/>
  <c r="G98" i="4" s="1"/>
  <c r="G91" i="40"/>
  <c r="I91" i="40" s="1"/>
  <c r="L91" i="40" s="1"/>
  <c r="G94" i="4" s="1"/>
  <c r="G87" i="40"/>
  <c r="I87" i="40" s="1"/>
  <c r="L87" i="40" s="1"/>
  <c r="G90" i="4" s="1"/>
  <c r="G83" i="40"/>
  <c r="I83" i="40" s="1"/>
  <c r="L83" i="40" s="1"/>
  <c r="G86" i="4" s="1"/>
  <c r="I1" i="40"/>
  <c r="I184" i="40" s="1"/>
  <c r="G180" i="40"/>
  <c r="I180" i="40" s="1"/>
  <c r="L180" i="40" s="1"/>
  <c r="G183" i="4" s="1"/>
  <c r="G176" i="40"/>
  <c r="I176" i="40" s="1"/>
  <c r="L176" i="40" s="1"/>
  <c r="G179" i="4" s="1"/>
  <c r="G172" i="40"/>
  <c r="I172" i="40" s="1"/>
  <c r="L172" i="40" s="1"/>
  <c r="G175" i="4" s="1"/>
  <c r="I175" i="4" s="1"/>
  <c r="G168" i="40"/>
  <c r="I168" i="40" s="1"/>
  <c r="L168" i="40" s="1"/>
  <c r="G171" i="4" s="1"/>
  <c r="G164" i="40"/>
  <c r="I164" i="40" s="1"/>
  <c r="L164" i="40" s="1"/>
  <c r="G167" i="4" s="1"/>
  <c r="G160" i="40"/>
  <c r="I160" i="40" s="1"/>
  <c r="L160" i="40" s="1"/>
  <c r="G163" i="4" s="1"/>
  <c r="G156" i="40"/>
  <c r="I156" i="40" s="1"/>
  <c r="L156" i="40" s="1"/>
  <c r="G159" i="4" s="1"/>
  <c r="G152" i="40"/>
  <c r="I152" i="40" s="1"/>
  <c r="L152" i="40" s="1"/>
  <c r="G155" i="4" s="1"/>
  <c r="G148" i="40"/>
  <c r="I148" i="40" s="1"/>
  <c r="L148" i="40" s="1"/>
  <c r="G151" i="4" s="1"/>
  <c r="G144" i="40"/>
  <c r="I144" i="40" s="1"/>
  <c r="L144" i="40" s="1"/>
  <c r="G147" i="4" s="1"/>
  <c r="G140" i="40"/>
  <c r="I140" i="40" s="1"/>
  <c r="L140" i="40" s="1"/>
  <c r="G143" i="4" s="1"/>
  <c r="G136" i="40"/>
  <c r="I136" i="40" s="1"/>
  <c r="L136" i="40" s="1"/>
  <c r="G139" i="4" s="1"/>
  <c r="G132" i="40"/>
  <c r="I132" i="40" s="1"/>
  <c r="L132" i="40" s="1"/>
  <c r="G135" i="4" s="1"/>
  <c r="G128" i="40"/>
  <c r="I128" i="40" s="1"/>
  <c r="L128" i="40" s="1"/>
  <c r="G131" i="4" s="1"/>
  <c r="G124" i="40"/>
  <c r="I124" i="40" s="1"/>
  <c r="L124" i="40" s="1"/>
  <c r="G127" i="4" s="1"/>
  <c r="G120" i="40"/>
  <c r="I120" i="40" s="1"/>
  <c r="L120" i="40" s="1"/>
  <c r="G123" i="4" s="1"/>
  <c r="G116" i="40"/>
  <c r="I116" i="40" s="1"/>
  <c r="L116" i="40" s="1"/>
  <c r="G119" i="4" s="1"/>
  <c r="G112" i="40"/>
  <c r="I112" i="40" s="1"/>
  <c r="L112" i="40" s="1"/>
  <c r="G115" i="4" s="1"/>
  <c r="G108" i="40"/>
  <c r="I108" i="40" s="1"/>
  <c r="L108" i="40" s="1"/>
  <c r="G111" i="4" s="1"/>
  <c r="G104" i="40"/>
  <c r="I104" i="40" s="1"/>
  <c r="L104" i="40" s="1"/>
  <c r="G107" i="4" s="1"/>
  <c r="G100" i="40"/>
  <c r="I100" i="40" s="1"/>
  <c r="L100" i="40" s="1"/>
  <c r="G103" i="4" s="1"/>
  <c r="G96" i="40"/>
  <c r="I96" i="40" s="1"/>
  <c r="L96" i="40" s="1"/>
  <c r="G99" i="4" s="1"/>
  <c r="G92" i="40"/>
  <c r="I92" i="40" s="1"/>
  <c r="L92" i="40" s="1"/>
  <c r="G95" i="4" s="1"/>
  <c r="G88" i="40"/>
  <c r="I88" i="40" s="1"/>
  <c r="L88" i="40" s="1"/>
  <c r="G91" i="4" s="1"/>
  <c r="G84" i="40"/>
  <c r="I84" i="40" s="1"/>
  <c r="L84" i="40" s="1"/>
  <c r="G87" i="4" s="1"/>
  <c r="I87" i="4" s="1"/>
  <c r="G80" i="40"/>
  <c r="I80" i="40" s="1"/>
  <c r="L80" i="40" s="1"/>
  <c r="G83" i="4" s="1"/>
  <c r="G76" i="40"/>
  <c r="I76" i="40" s="1"/>
  <c r="L76" i="40" s="1"/>
  <c r="G79" i="4" s="1"/>
  <c r="G72" i="40"/>
  <c r="I72" i="40" s="1"/>
  <c r="L72" i="40" s="1"/>
  <c r="G75" i="4" s="1"/>
  <c r="G181" i="40"/>
  <c r="I181" i="40" s="1"/>
  <c r="L181" i="40" s="1"/>
  <c r="G184" i="4" s="1"/>
  <c r="G177" i="40"/>
  <c r="I177" i="40" s="1"/>
  <c r="L177" i="40" s="1"/>
  <c r="G180" i="4" s="1"/>
  <c r="G173" i="40"/>
  <c r="I173" i="40" s="1"/>
  <c r="L173" i="40" s="1"/>
  <c r="G176" i="4" s="1"/>
  <c r="G169" i="40"/>
  <c r="I169" i="40" s="1"/>
  <c r="L169" i="40" s="1"/>
  <c r="G172" i="4" s="1"/>
  <c r="G165" i="40"/>
  <c r="I165" i="40" s="1"/>
  <c r="L165" i="40" s="1"/>
  <c r="G168" i="4" s="1"/>
  <c r="G161" i="40"/>
  <c r="I161" i="40" s="1"/>
  <c r="L161" i="40" s="1"/>
  <c r="G164" i="4" s="1"/>
  <c r="G157" i="40"/>
  <c r="I157" i="40" s="1"/>
  <c r="L157" i="40" s="1"/>
  <c r="G160" i="4" s="1"/>
  <c r="G153" i="40"/>
  <c r="I153" i="40" s="1"/>
  <c r="L153" i="40" s="1"/>
  <c r="G156" i="4" s="1"/>
  <c r="G149" i="40"/>
  <c r="I149" i="40" s="1"/>
  <c r="L149" i="40" s="1"/>
  <c r="G152" i="4" s="1"/>
  <c r="G145" i="40"/>
  <c r="I145" i="40" s="1"/>
  <c r="L145" i="40" s="1"/>
  <c r="G148" i="4" s="1"/>
  <c r="G141" i="40"/>
  <c r="I141" i="40" s="1"/>
  <c r="L141" i="40" s="1"/>
  <c r="G144" i="4" s="1"/>
  <c r="G137" i="40"/>
  <c r="I137" i="40" s="1"/>
  <c r="L137" i="40" s="1"/>
  <c r="G140" i="4" s="1"/>
  <c r="G133" i="40"/>
  <c r="I133" i="40" s="1"/>
  <c r="L133" i="40" s="1"/>
  <c r="G136" i="4" s="1"/>
  <c r="G129" i="40"/>
  <c r="I129" i="40" s="1"/>
  <c r="L129" i="40" s="1"/>
  <c r="G132" i="4" s="1"/>
  <c r="G125" i="40"/>
  <c r="I125" i="40" s="1"/>
  <c r="L125" i="40" s="1"/>
  <c r="G128" i="4" s="1"/>
  <c r="G121" i="40"/>
  <c r="I121" i="40" s="1"/>
  <c r="L121" i="40" s="1"/>
  <c r="G124" i="4" s="1"/>
  <c r="I124" i="4" s="1"/>
  <c r="G117" i="40"/>
  <c r="I117" i="40" s="1"/>
  <c r="L117" i="40" s="1"/>
  <c r="G120" i="4" s="1"/>
  <c r="G113" i="40"/>
  <c r="I113" i="40" s="1"/>
  <c r="L113" i="40" s="1"/>
  <c r="G116" i="4" s="1"/>
  <c r="G109" i="40"/>
  <c r="I109" i="40" s="1"/>
  <c r="L109" i="40" s="1"/>
  <c r="G112" i="4" s="1"/>
  <c r="G105" i="40"/>
  <c r="I105" i="40" s="1"/>
  <c r="L105" i="40" s="1"/>
  <c r="G108" i="4" s="1"/>
  <c r="G101" i="40"/>
  <c r="I101" i="40" s="1"/>
  <c r="L101" i="40" s="1"/>
  <c r="G104" i="4" s="1"/>
  <c r="G97" i="40"/>
  <c r="I97" i="40" s="1"/>
  <c r="L97" i="40" s="1"/>
  <c r="G100" i="4" s="1"/>
  <c r="G93" i="40"/>
  <c r="I93" i="40" s="1"/>
  <c r="L93" i="40" s="1"/>
  <c r="G96" i="4" s="1"/>
  <c r="G89" i="40"/>
  <c r="I89" i="40" s="1"/>
  <c r="L89" i="40" s="1"/>
  <c r="G92" i="4" s="1"/>
  <c r="G85" i="40"/>
  <c r="I85" i="40" s="1"/>
  <c r="L85" i="40" s="1"/>
  <c r="G88" i="4" s="1"/>
  <c r="I88" i="4" s="1"/>
  <c r="G81" i="40"/>
  <c r="I81" i="40" s="1"/>
  <c r="L81" i="40" s="1"/>
  <c r="G84" i="4" s="1"/>
  <c r="G77" i="40"/>
  <c r="I77" i="40" s="1"/>
  <c r="L77" i="40" s="1"/>
  <c r="G80" i="4" s="1"/>
  <c r="G70" i="40"/>
  <c r="I70" i="40" s="1"/>
  <c r="L70" i="40" s="1"/>
  <c r="G73" i="4" s="1"/>
  <c r="G62" i="40"/>
  <c r="I62" i="40" s="1"/>
  <c r="L62" i="40" s="1"/>
  <c r="G65" i="4" s="1"/>
  <c r="G54" i="40"/>
  <c r="I54" i="40" s="1"/>
  <c r="L54" i="40" s="1"/>
  <c r="G57" i="4" s="1"/>
  <c r="G46" i="40"/>
  <c r="I46" i="40" s="1"/>
  <c r="L46" i="40" s="1"/>
  <c r="G49" i="4" s="1"/>
  <c r="G38" i="40"/>
  <c r="I38" i="40" s="1"/>
  <c r="L38" i="40" s="1"/>
  <c r="G41" i="4" s="1"/>
  <c r="G30" i="40"/>
  <c r="I30" i="40" s="1"/>
  <c r="L30" i="40" s="1"/>
  <c r="G33" i="4" s="1"/>
  <c r="G22" i="40"/>
  <c r="I22" i="40" s="1"/>
  <c r="L22" i="40" s="1"/>
  <c r="G25" i="4" s="1"/>
  <c r="G14" i="40"/>
  <c r="I14" i="40" s="1"/>
  <c r="L14" i="40" s="1"/>
  <c r="G17" i="4" s="1"/>
  <c r="G6" i="40"/>
  <c r="I6" i="40" s="1"/>
  <c r="L6" i="40" s="1"/>
  <c r="G9" i="4" s="1"/>
  <c r="G65" i="40"/>
  <c r="I65" i="40" s="1"/>
  <c r="L65" i="40" s="1"/>
  <c r="G68" i="4" s="1"/>
  <c r="G57" i="40"/>
  <c r="I57" i="40" s="1"/>
  <c r="L57" i="40" s="1"/>
  <c r="G60" i="4" s="1"/>
  <c r="G49" i="40"/>
  <c r="I49" i="40" s="1"/>
  <c r="L49" i="40" s="1"/>
  <c r="G52" i="4" s="1"/>
  <c r="G41" i="40"/>
  <c r="I41" i="40" s="1"/>
  <c r="L41" i="40" s="1"/>
  <c r="G44" i="4" s="1"/>
  <c r="G33" i="40"/>
  <c r="I33" i="40" s="1"/>
  <c r="L33" i="40" s="1"/>
  <c r="G36" i="4" s="1"/>
  <c r="G25" i="40"/>
  <c r="I25" i="40" s="1"/>
  <c r="L25" i="40" s="1"/>
  <c r="G28" i="4" s="1"/>
  <c r="G17" i="40"/>
  <c r="I17" i="40" s="1"/>
  <c r="L17" i="40" s="1"/>
  <c r="G20" i="4" s="1"/>
  <c r="G9" i="40"/>
  <c r="I9" i="40" s="1"/>
  <c r="L9" i="40" s="1"/>
  <c r="G12" i="4" s="1"/>
  <c r="G75" i="40"/>
  <c r="I75" i="40" s="1"/>
  <c r="L75" i="40" s="1"/>
  <c r="G78" i="4" s="1"/>
  <c r="G73" i="40"/>
  <c r="I73" i="40" s="1"/>
  <c r="L73" i="40" s="1"/>
  <c r="G76" i="4" s="1"/>
  <c r="G68" i="40"/>
  <c r="I68" i="40" s="1"/>
  <c r="L68" i="40" s="1"/>
  <c r="G71" i="4" s="1"/>
  <c r="G60" i="40"/>
  <c r="I60" i="40" s="1"/>
  <c r="L60" i="40" s="1"/>
  <c r="G63" i="4" s="1"/>
  <c r="G52" i="40"/>
  <c r="I52" i="40" s="1"/>
  <c r="L52" i="40" s="1"/>
  <c r="G55" i="4" s="1"/>
  <c r="G44" i="40"/>
  <c r="I44" i="40" s="1"/>
  <c r="L44" i="40" s="1"/>
  <c r="G47" i="4" s="1"/>
  <c r="G36" i="40"/>
  <c r="I36" i="40" s="1"/>
  <c r="L36" i="40" s="1"/>
  <c r="G39" i="4" s="1"/>
  <c r="G28" i="40"/>
  <c r="I28" i="40" s="1"/>
  <c r="L28" i="40" s="1"/>
  <c r="G31" i="4" s="1"/>
  <c r="G20" i="40"/>
  <c r="I20" i="40" s="1"/>
  <c r="L20" i="40" s="1"/>
  <c r="G23" i="4" s="1"/>
  <c r="G12" i="40"/>
  <c r="I12" i="40" s="1"/>
  <c r="L12" i="40" s="1"/>
  <c r="G15" i="4" s="1"/>
  <c r="I15" i="4" s="1"/>
  <c r="G4" i="40"/>
  <c r="I4" i="40" s="1"/>
  <c r="L4" i="40" s="1"/>
  <c r="G7" i="4" s="1"/>
  <c r="G71" i="40"/>
  <c r="I71" i="40" s="1"/>
  <c r="L71" i="40" s="1"/>
  <c r="G74" i="4" s="1"/>
  <c r="G63" i="40"/>
  <c r="I63" i="40" s="1"/>
  <c r="L63" i="40" s="1"/>
  <c r="G66" i="4" s="1"/>
  <c r="G55" i="40"/>
  <c r="I55" i="40" s="1"/>
  <c r="L55" i="40" s="1"/>
  <c r="G58" i="4" s="1"/>
  <c r="G47" i="40"/>
  <c r="I47" i="40" s="1"/>
  <c r="L47" i="40" s="1"/>
  <c r="G50" i="4" s="1"/>
  <c r="G39" i="40"/>
  <c r="I39" i="40" s="1"/>
  <c r="L39" i="40" s="1"/>
  <c r="G42" i="4" s="1"/>
  <c r="G31" i="40"/>
  <c r="I31" i="40" s="1"/>
  <c r="L31" i="40" s="1"/>
  <c r="G34" i="4" s="1"/>
  <c r="G23" i="40"/>
  <c r="I23" i="40" s="1"/>
  <c r="L23" i="40" s="1"/>
  <c r="G26" i="4" s="1"/>
  <c r="G15" i="40"/>
  <c r="I15" i="40" s="1"/>
  <c r="L15" i="40" s="1"/>
  <c r="G18" i="4" s="1"/>
  <c r="G7" i="40"/>
  <c r="I7" i="40" s="1"/>
  <c r="L7" i="40" s="1"/>
  <c r="G10" i="4" s="1"/>
  <c r="G66" i="40"/>
  <c r="I66" i="40" s="1"/>
  <c r="L66" i="40" s="1"/>
  <c r="G69" i="4" s="1"/>
  <c r="G58" i="40"/>
  <c r="I58" i="40" s="1"/>
  <c r="L58" i="40" s="1"/>
  <c r="G61" i="4" s="1"/>
  <c r="G50" i="40"/>
  <c r="I50" i="40" s="1"/>
  <c r="L50" i="40" s="1"/>
  <c r="G53" i="4" s="1"/>
  <c r="G42" i="40"/>
  <c r="I42" i="40" s="1"/>
  <c r="L42" i="40" s="1"/>
  <c r="G45" i="4" s="1"/>
  <c r="G34" i="40"/>
  <c r="I34" i="40" s="1"/>
  <c r="L34" i="40" s="1"/>
  <c r="G37" i="4" s="1"/>
  <c r="G26" i="40"/>
  <c r="I26" i="40" s="1"/>
  <c r="L26" i="40" s="1"/>
  <c r="G29" i="4" s="1"/>
  <c r="G18" i="40"/>
  <c r="I18" i="40" s="1"/>
  <c r="L18" i="40" s="1"/>
  <c r="G21" i="4" s="1"/>
  <c r="G10" i="40"/>
  <c r="I10" i="40" s="1"/>
  <c r="L10" i="40" s="1"/>
  <c r="G13" i="4" s="1"/>
  <c r="G69" i="40"/>
  <c r="I69" i="40" s="1"/>
  <c r="L69" i="40" s="1"/>
  <c r="G72" i="4" s="1"/>
  <c r="G61" i="40"/>
  <c r="I61" i="40" s="1"/>
  <c r="L61" i="40" s="1"/>
  <c r="G64" i="4" s="1"/>
  <c r="G53" i="40"/>
  <c r="I53" i="40" s="1"/>
  <c r="L53" i="40" s="1"/>
  <c r="G56" i="4" s="1"/>
  <c r="G45" i="40"/>
  <c r="I45" i="40" s="1"/>
  <c r="L45" i="40" s="1"/>
  <c r="G48" i="4" s="1"/>
  <c r="G37" i="40"/>
  <c r="I37" i="40" s="1"/>
  <c r="L37" i="40" s="1"/>
  <c r="G40" i="4" s="1"/>
  <c r="G29" i="40"/>
  <c r="I29" i="40" s="1"/>
  <c r="L29" i="40" s="1"/>
  <c r="G32" i="4" s="1"/>
  <c r="G21" i="40"/>
  <c r="I21" i="40" s="1"/>
  <c r="L21" i="40" s="1"/>
  <c r="G24" i="4" s="1"/>
  <c r="G13" i="40"/>
  <c r="I13" i="40" s="1"/>
  <c r="L13" i="40" s="1"/>
  <c r="G16" i="4" s="1"/>
  <c r="G5" i="40"/>
  <c r="I5" i="40" s="1"/>
  <c r="L5" i="40" s="1"/>
  <c r="G8" i="4" s="1"/>
  <c r="G74" i="40"/>
  <c r="I74" i="40" s="1"/>
  <c r="L74" i="40" s="1"/>
  <c r="G77" i="4" s="1"/>
  <c r="G64" i="40"/>
  <c r="I64" i="40" s="1"/>
  <c r="L64" i="40" s="1"/>
  <c r="G67" i="4" s="1"/>
  <c r="G56" i="40"/>
  <c r="I56" i="40" s="1"/>
  <c r="L56" i="40" s="1"/>
  <c r="G59" i="4" s="1"/>
  <c r="G48" i="40"/>
  <c r="I48" i="40" s="1"/>
  <c r="L48" i="40" s="1"/>
  <c r="G51" i="4" s="1"/>
  <c r="G40" i="40"/>
  <c r="I40" i="40" s="1"/>
  <c r="L40" i="40" s="1"/>
  <c r="G43" i="4" s="1"/>
  <c r="G32" i="40"/>
  <c r="I32" i="40" s="1"/>
  <c r="L32" i="40" s="1"/>
  <c r="G35" i="4" s="1"/>
  <c r="G24" i="40"/>
  <c r="I24" i="40" s="1"/>
  <c r="L24" i="40" s="1"/>
  <c r="G27" i="4" s="1"/>
  <c r="G16" i="40"/>
  <c r="I16" i="40" s="1"/>
  <c r="L16" i="40" s="1"/>
  <c r="G19" i="4" s="1"/>
  <c r="G8" i="40"/>
  <c r="I8" i="40" s="1"/>
  <c r="L8" i="40" s="1"/>
  <c r="G11" i="4" s="1"/>
  <c r="G79" i="40"/>
  <c r="I79" i="40" s="1"/>
  <c r="L79" i="40" s="1"/>
  <c r="G82" i="4" s="1"/>
  <c r="G67" i="40"/>
  <c r="I67" i="40" s="1"/>
  <c r="L67" i="40" s="1"/>
  <c r="G70" i="4" s="1"/>
  <c r="G59" i="40"/>
  <c r="I59" i="40" s="1"/>
  <c r="L59" i="40" s="1"/>
  <c r="G62" i="4" s="1"/>
  <c r="G51" i="40"/>
  <c r="I51" i="40" s="1"/>
  <c r="L51" i="40" s="1"/>
  <c r="G54" i="4" s="1"/>
  <c r="G43" i="40"/>
  <c r="I43" i="40" s="1"/>
  <c r="L43" i="40" s="1"/>
  <c r="G46" i="4" s="1"/>
  <c r="G35" i="40"/>
  <c r="I35" i="40" s="1"/>
  <c r="L35" i="40" s="1"/>
  <c r="G38" i="4" s="1"/>
  <c r="G27" i="40"/>
  <c r="I27" i="40" s="1"/>
  <c r="L27" i="40" s="1"/>
  <c r="G30" i="4" s="1"/>
  <c r="G19" i="40"/>
  <c r="I19" i="40" s="1"/>
  <c r="L19" i="40" s="1"/>
  <c r="G22" i="4" s="1"/>
  <c r="I22" i="4" s="1"/>
  <c r="G11" i="40"/>
  <c r="I11" i="40" s="1"/>
  <c r="L11" i="40" s="1"/>
  <c r="G14" i="4" s="1"/>
  <c r="G200" i="47"/>
  <c r="I3" i="47"/>
  <c r="I182" i="47"/>
  <c r="L182" i="47" s="1"/>
  <c r="Y185" i="4" s="1"/>
  <c r="I50" i="47"/>
  <c r="L50" i="47" s="1"/>
  <c r="Y53" i="4" s="1"/>
  <c r="I82" i="47"/>
  <c r="L82" i="47" s="1"/>
  <c r="Y85" i="4" s="1"/>
  <c r="I144" i="47"/>
  <c r="L144" i="47" s="1"/>
  <c r="Y147" i="4" s="1"/>
  <c r="I176" i="47"/>
  <c r="L176" i="47" s="1"/>
  <c r="Y179" i="4" s="1"/>
  <c r="I49" i="47"/>
  <c r="L49" i="47" s="1"/>
  <c r="Y52" i="4" s="1"/>
  <c r="I81" i="47"/>
  <c r="L81" i="47" s="1"/>
  <c r="Y84" i="4" s="1"/>
  <c r="I113" i="47"/>
  <c r="L113" i="47" s="1"/>
  <c r="Y116" i="4" s="1"/>
  <c r="I143" i="47"/>
  <c r="L143" i="47" s="1"/>
  <c r="Y146" i="4" s="1"/>
  <c r="I151" i="47"/>
  <c r="L151" i="47" s="1"/>
  <c r="Y154" i="4" s="1"/>
  <c r="I104" i="47"/>
  <c r="L104" i="47" s="1"/>
  <c r="Y107" i="4" s="1"/>
  <c r="I170" i="47"/>
  <c r="L170" i="47" s="1"/>
  <c r="Y173" i="4" s="1"/>
  <c r="I19" i="47"/>
  <c r="L19" i="47" s="1"/>
  <c r="Y22" i="4" s="1"/>
  <c r="I166" i="47"/>
  <c r="L166" i="47" s="1"/>
  <c r="Y169" i="4" s="1"/>
  <c r="I106" i="47"/>
  <c r="L106" i="47" s="1"/>
  <c r="Y109" i="4" s="1"/>
  <c r="I168" i="47"/>
  <c r="L168" i="47" s="1"/>
  <c r="Y171" i="4" s="1"/>
  <c r="I128" i="47"/>
  <c r="L128" i="47" s="1"/>
  <c r="Y131" i="4" s="1"/>
  <c r="I159" i="47"/>
  <c r="L159" i="47" s="1"/>
  <c r="Y162" i="4" s="1"/>
  <c r="I129" i="45"/>
  <c r="L129" i="45" s="1"/>
  <c r="V132" i="4" s="1"/>
  <c r="I181" i="45"/>
  <c r="L181" i="45" s="1"/>
  <c r="V184" i="4" s="1"/>
  <c r="I177" i="45"/>
  <c r="L177" i="45" s="1"/>
  <c r="V180" i="4" s="1"/>
  <c r="I173" i="45"/>
  <c r="L173" i="45" s="1"/>
  <c r="V176" i="4" s="1"/>
  <c r="I165" i="45"/>
  <c r="L165" i="45" s="1"/>
  <c r="V168" i="4" s="1"/>
  <c r="I161" i="45"/>
  <c r="L161" i="45" s="1"/>
  <c r="V164" i="4" s="1"/>
  <c r="I157" i="45"/>
  <c r="L157" i="45" s="1"/>
  <c r="V160" i="4" s="1"/>
  <c r="I153" i="45"/>
  <c r="L153" i="45" s="1"/>
  <c r="V156" i="4" s="1"/>
  <c r="I149" i="45"/>
  <c r="L149" i="45" s="1"/>
  <c r="V152" i="4" s="1"/>
  <c r="I145" i="45"/>
  <c r="L145" i="45" s="1"/>
  <c r="V148" i="4" s="1"/>
  <c r="I141" i="45"/>
  <c r="L141" i="45" s="1"/>
  <c r="V144" i="4" s="1"/>
  <c r="I137" i="45"/>
  <c r="L137" i="45" s="1"/>
  <c r="V140" i="4" s="1"/>
  <c r="I126" i="45"/>
  <c r="L126" i="45" s="1"/>
  <c r="V129" i="4" s="1"/>
  <c r="I114" i="45"/>
  <c r="L114" i="45" s="1"/>
  <c r="V117" i="4" s="1"/>
  <c r="I106" i="45"/>
  <c r="L106" i="45" s="1"/>
  <c r="V109" i="4" s="1"/>
  <c r="I102" i="45"/>
  <c r="L102" i="45" s="1"/>
  <c r="V105" i="4" s="1"/>
  <c r="I98" i="45"/>
  <c r="L98" i="45" s="1"/>
  <c r="V101" i="4" s="1"/>
  <c r="I94" i="45"/>
  <c r="L94" i="45" s="1"/>
  <c r="V97" i="4" s="1"/>
  <c r="I90" i="45"/>
  <c r="L90" i="45" s="1"/>
  <c r="V93" i="4" s="1"/>
  <c r="I86" i="45"/>
  <c r="L86" i="45" s="1"/>
  <c r="V89" i="4" s="1"/>
  <c r="I82" i="45"/>
  <c r="L82" i="45" s="1"/>
  <c r="V85" i="4" s="1"/>
  <c r="I78" i="45"/>
  <c r="L78" i="45" s="1"/>
  <c r="V81" i="4" s="1"/>
  <c r="I74" i="45"/>
  <c r="L74" i="45" s="1"/>
  <c r="V77" i="4" s="1"/>
  <c r="I70" i="45"/>
  <c r="L70" i="45" s="1"/>
  <c r="V73" i="4" s="1"/>
  <c r="I66" i="45"/>
  <c r="L66" i="45" s="1"/>
  <c r="V69" i="4" s="1"/>
  <c r="I62" i="45"/>
  <c r="L62" i="45" s="1"/>
  <c r="V65" i="4" s="1"/>
  <c r="I50" i="45"/>
  <c r="L50" i="45" s="1"/>
  <c r="V53" i="4" s="1"/>
  <c r="I42" i="45"/>
  <c r="L42" i="45" s="1"/>
  <c r="V45" i="4" s="1"/>
  <c r="I38" i="45"/>
  <c r="L38" i="45" s="1"/>
  <c r="V41" i="4" s="1"/>
  <c r="I34" i="45"/>
  <c r="L34" i="45" s="1"/>
  <c r="V37" i="4" s="1"/>
  <c r="I30" i="45"/>
  <c r="L30" i="45" s="1"/>
  <c r="V33" i="4" s="1"/>
  <c r="I26" i="45"/>
  <c r="L26" i="45" s="1"/>
  <c r="V29" i="4" s="1"/>
  <c r="I22" i="45"/>
  <c r="L22" i="45" s="1"/>
  <c r="V25" i="4" s="1"/>
  <c r="I18" i="45"/>
  <c r="L18" i="45" s="1"/>
  <c r="V21" i="4" s="1"/>
  <c r="I14" i="45"/>
  <c r="L14" i="45" s="1"/>
  <c r="V17" i="4" s="1"/>
  <c r="I10" i="45"/>
  <c r="L10" i="45" s="1"/>
  <c r="V13" i="4" s="1"/>
  <c r="I6" i="45"/>
  <c r="L6" i="45" s="1"/>
  <c r="V9" i="4" s="1"/>
  <c r="I170" i="45"/>
  <c r="L170" i="45" s="1"/>
  <c r="V173" i="4" s="1"/>
  <c r="I166" i="45"/>
  <c r="L166" i="45" s="1"/>
  <c r="V169" i="4" s="1"/>
  <c r="I162" i="45"/>
  <c r="L162" i="45" s="1"/>
  <c r="V165" i="4" s="1"/>
  <c r="I158" i="45"/>
  <c r="L158" i="45" s="1"/>
  <c r="V161" i="4" s="1"/>
  <c r="I154" i="45"/>
  <c r="L154" i="45" s="1"/>
  <c r="V157" i="4" s="1"/>
  <c r="I150" i="45"/>
  <c r="L150" i="45" s="1"/>
  <c r="V153" i="4" s="1"/>
  <c r="I146" i="45"/>
  <c r="L146" i="45" s="1"/>
  <c r="V149" i="4" s="1"/>
  <c r="I142" i="45"/>
  <c r="L142" i="45" s="1"/>
  <c r="V145" i="4" s="1"/>
  <c r="I138" i="45"/>
  <c r="L138" i="45" s="1"/>
  <c r="V141" i="4" s="1"/>
  <c r="I134" i="45"/>
  <c r="L134" i="45" s="1"/>
  <c r="V137" i="4" s="1"/>
  <c r="I130" i="45"/>
  <c r="L130" i="45" s="1"/>
  <c r="V133" i="4" s="1"/>
  <c r="I127" i="45"/>
  <c r="L127" i="45" s="1"/>
  <c r="V130" i="4" s="1"/>
  <c r="I123" i="45"/>
  <c r="L123" i="45" s="1"/>
  <c r="V126" i="4" s="1"/>
  <c r="I119" i="45"/>
  <c r="L119" i="45" s="1"/>
  <c r="V122" i="4" s="1"/>
  <c r="I115" i="45"/>
  <c r="L115" i="45" s="1"/>
  <c r="V118" i="4" s="1"/>
  <c r="I111" i="45"/>
  <c r="L111" i="45" s="1"/>
  <c r="V114" i="4" s="1"/>
  <c r="I107" i="45"/>
  <c r="L107" i="45" s="1"/>
  <c r="V110" i="4" s="1"/>
  <c r="I103" i="45"/>
  <c r="L103" i="45" s="1"/>
  <c r="V106" i="4" s="1"/>
  <c r="I99" i="45"/>
  <c r="L99" i="45" s="1"/>
  <c r="V102" i="4" s="1"/>
  <c r="I87" i="45"/>
  <c r="L87" i="45" s="1"/>
  <c r="V90" i="4" s="1"/>
  <c r="I79" i="45"/>
  <c r="L79" i="45" s="1"/>
  <c r="V82" i="4" s="1"/>
  <c r="I75" i="45"/>
  <c r="L75" i="45" s="1"/>
  <c r="V78" i="4" s="1"/>
  <c r="I71" i="45"/>
  <c r="L71" i="45" s="1"/>
  <c r="V74" i="4" s="1"/>
  <c r="I67" i="45"/>
  <c r="L67" i="45" s="1"/>
  <c r="V70" i="4" s="1"/>
  <c r="I63" i="45"/>
  <c r="L63" i="45" s="1"/>
  <c r="V66" i="4" s="1"/>
  <c r="I59" i="45"/>
  <c r="L59" i="45" s="1"/>
  <c r="V62" i="4" s="1"/>
  <c r="I55" i="45"/>
  <c r="L55" i="45" s="1"/>
  <c r="V58" i="4" s="1"/>
  <c r="I51" i="45"/>
  <c r="L51" i="45" s="1"/>
  <c r="V54" i="4" s="1"/>
  <c r="I47" i="45"/>
  <c r="L47" i="45" s="1"/>
  <c r="V50" i="4" s="1"/>
  <c r="I43" i="45"/>
  <c r="L43" i="45" s="1"/>
  <c r="V46" i="4" s="1"/>
  <c r="I39" i="45"/>
  <c r="L39" i="45" s="1"/>
  <c r="V42" i="4" s="1"/>
  <c r="I35" i="45"/>
  <c r="L35" i="45" s="1"/>
  <c r="V38" i="4" s="1"/>
  <c r="I23" i="45"/>
  <c r="L23" i="45" s="1"/>
  <c r="V26" i="4" s="1"/>
  <c r="I15" i="45"/>
  <c r="L15" i="45" s="1"/>
  <c r="V18" i="4" s="1"/>
  <c r="I11" i="45"/>
  <c r="L11" i="45" s="1"/>
  <c r="V14" i="4" s="1"/>
  <c r="I7" i="45"/>
  <c r="L7" i="45" s="1"/>
  <c r="V10" i="4" s="1"/>
  <c r="I179" i="45"/>
  <c r="L179" i="45" s="1"/>
  <c r="V182" i="4" s="1"/>
  <c r="I175" i="45"/>
  <c r="L175" i="45" s="1"/>
  <c r="V178" i="4" s="1"/>
  <c r="I171" i="45"/>
  <c r="L171" i="45" s="1"/>
  <c r="V174" i="4" s="1"/>
  <c r="I163" i="45"/>
  <c r="L163" i="45" s="1"/>
  <c r="V166" i="4" s="1"/>
  <c r="I151" i="45"/>
  <c r="L151" i="45" s="1"/>
  <c r="V154" i="4" s="1"/>
  <c r="I143" i="45"/>
  <c r="L143" i="45" s="1"/>
  <c r="V146" i="4" s="1"/>
  <c r="I139" i="45"/>
  <c r="L139" i="45" s="1"/>
  <c r="V142" i="4" s="1"/>
  <c r="I135" i="45"/>
  <c r="L135" i="45" s="1"/>
  <c r="V138" i="4" s="1"/>
  <c r="I131" i="45"/>
  <c r="L131" i="45" s="1"/>
  <c r="V134" i="4" s="1"/>
  <c r="I128" i="45"/>
  <c r="L128" i="45" s="1"/>
  <c r="V131" i="4" s="1"/>
  <c r="I124" i="45"/>
  <c r="L124" i="45" s="1"/>
  <c r="V127" i="4" s="1"/>
  <c r="I120" i="45"/>
  <c r="L120" i="45" s="1"/>
  <c r="V123" i="4" s="1"/>
  <c r="I116" i="45"/>
  <c r="L116" i="45" s="1"/>
  <c r="V119" i="4" s="1"/>
  <c r="I112" i="45"/>
  <c r="L112" i="45" s="1"/>
  <c r="V115" i="4" s="1"/>
  <c r="I108" i="45"/>
  <c r="L108" i="45" s="1"/>
  <c r="V111" i="4" s="1"/>
  <c r="I104" i="45"/>
  <c r="L104" i="45" s="1"/>
  <c r="V107" i="4" s="1"/>
  <c r="I100" i="45"/>
  <c r="L100" i="45" s="1"/>
  <c r="V103" i="4" s="1"/>
  <c r="I96" i="45"/>
  <c r="L96" i="45" s="1"/>
  <c r="V99" i="4" s="1"/>
  <c r="I88" i="45"/>
  <c r="L88" i="45" s="1"/>
  <c r="V91" i="4" s="1"/>
  <c r="I76" i="45"/>
  <c r="L76" i="45" s="1"/>
  <c r="V79" i="4" s="1"/>
  <c r="I72" i="45"/>
  <c r="L72" i="45" s="1"/>
  <c r="V75" i="4" s="1"/>
  <c r="I68" i="45"/>
  <c r="L68" i="45" s="1"/>
  <c r="V71" i="4" s="1"/>
  <c r="I64" i="45"/>
  <c r="L64" i="45" s="1"/>
  <c r="V67" i="4" s="1"/>
  <c r="I60" i="45"/>
  <c r="L60" i="45" s="1"/>
  <c r="V63" i="4" s="1"/>
  <c r="I56" i="45"/>
  <c r="L56" i="45" s="1"/>
  <c r="V59" i="4" s="1"/>
  <c r="I52" i="45"/>
  <c r="L52" i="45" s="1"/>
  <c r="V55" i="4" s="1"/>
  <c r="I48" i="45"/>
  <c r="L48" i="45" s="1"/>
  <c r="V51" i="4" s="1"/>
  <c r="I44" i="45"/>
  <c r="L44" i="45" s="1"/>
  <c r="V47" i="4" s="1"/>
  <c r="I40" i="45"/>
  <c r="L40" i="45" s="1"/>
  <c r="V43" i="4" s="1"/>
  <c r="I36" i="45"/>
  <c r="L36" i="45" s="1"/>
  <c r="V39" i="4" s="1"/>
  <c r="I32" i="45"/>
  <c r="L32" i="45" s="1"/>
  <c r="V35" i="4" s="1"/>
  <c r="I24" i="45"/>
  <c r="L24" i="45" s="1"/>
  <c r="V27" i="4" s="1"/>
  <c r="I12" i="45"/>
  <c r="L12" i="45" s="1"/>
  <c r="V15" i="4" s="1"/>
  <c r="I8" i="45"/>
  <c r="L8" i="45" s="1"/>
  <c r="V11" i="4" s="1"/>
  <c r="I4" i="45"/>
  <c r="L4" i="45" s="1"/>
  <c r="V7" i="4" s="1"/>
  <c r="I176" i="45"/>
  <c r="L176" i="45" s="1"/>
  <c r="V179" i="4" s="1"/>
  <c r="I168" i="45"/>
  <c r="L168" i="45" s="1"/>
  <c r="V171" i="4" s="1"/>
  <c r="I160" i="45"/>
  <c r="L160" i="45" s="1"/>
  <c r="V163" i="4" s="1"/>
  <c r="I136" i="45"/>
  <c r="L136" i="45" s="1"/>
  <c r="V139" i="4" s="1"/>
  <c r="I37" i="45"/>
  <c r="L37" i="45" s="1"/>
  <c r="V40" i="4" s="1"/>
  <c r="I81" i="45"/>
  <c r="L81" i="45" s="1"/>
  <c r="V84" i="4" s="1"/>
  <c r="I49" i="45"/>
  <c r="L49" i="45" s="1"/>
  <c r="V52" i="4" s="1"/>
  <c r="I17" i="45"/>
  <c r="L17" i="45" s="1"/>
  <c r="V20" i="4" s="1"/>
  <c r="I121" i="45"/>
  <c r="L121" i="45" s="1"/>
  <c r="V124" i="4" s="1"/>
  <c r="I113" i="45"/>
  <c r="L113" i="45" s="1"/>
  <c r="V116" i="4" s="1"/>
  <c r="I105" i="45"/>
  <c r="L105" i="45" s="1"/>
  <c r="V108" i="4" s="1"/>
  <c r="I97" i="45"/>
  <c r="L97" i="45" s="1"/>
  <c r="V100" i="4" s="1"/>
  <c r="I61" i="45"/>
  <c r="L61" i="45" s="1"/>
  <c r="V64" i="4" s="1"/>
  <c r="I29" i="45"/>
  <c r="L29" i="45" s="1"/>
  <c r="V32" i="4" s="1"/>
  <c r="I85" i="45"/>
  <c r="L85" i="45" s="1"/>
  <c r="V88" i="4" s="1"/>
  <c r="I77" i="45"/>
  <c r="L77" i="45" s="1"/>
  <c r="V80" i="4" s="1"/>
  <c r="I41" i="45"/>
  <c r="L41" i="45" s="1"/>
  <c r="V44" i="4" s="1"/>
  <c r="I9" i="45"/>
  <c r="L9" i="45" s="1"/>
  <c r="V12" i="4" s="1"/>
  <c r="I93" i="45"/>
  <c r="L93" i="45" s="1"/>
  <c r="V96" i="4" s="1"/>
  <c r="I13" i="45"/>
  <c r="L13" i="45" s="1"/>
  <c r="V16" i="4" s="1"/>
  <c r="I25" i="45"/>
  <c r="L25" i="45" s="1"/>
  <c r="V28" i="4" s="1"/>
  <c r="I180" i="45"/>
  <c r="L180" i="45" s="1"/>
  <c r="V183" i="4" s="1"/>
  <c r="I172" i="45"/>
  <c r="L172" i="45" s="1"/>
  <c r="V175" i="4" s="1"/>
  <c r="I164" i="45"/>
  <c r="L164" i="45" s="1"/>
  <c r="V167" i="4" s="1"/>
  <c r="I140" i="45"/>
  <c r="L140" i="45" s="1"/>
  <c r="V143" i="4" s="1"/>
  <c r="I132" i="45"/>
  <c r="L132" i="45" s="1"/>
  <c r="V135" i="4" s="1"/>
  <c r="I53" i="45"/>
  <c r="L53" i="45" s="1"/>
  <c r="V56" i="4" s="1"/>
  <c r="I21" i="45"/>
  <c r="L21" i="45" s="1"/>
  <c r="V24" i="4" s="1"/>
  <c r="I117" i="45"/>
  <c r="L117" i="45" s="1"/>
  <c r="V120" i="4" s="1"/>
  <c r="I73" i="45"/>
  <c r="L73" i="45" s="1"/>
  <c r="V76" i="4" s="1"/>
  <c r="I65" i="45"/>
  <c r="L65" i="45" s="1"/>
  <c r="V68" i="4" s="1"/>
  <c r="I109" i="45"/>
  <c r="L109" i="45" s="1"/>
  <c r="V112" i="4" s="1"/>
  <c r="I57" i="45"/>
  <c r="L57" i="45" s="1"/>
  <c r="V60" i="4" s="1"/>
  <c r="I101" i="45"/>
  <c r="L101" i="45" s="1"/>
  <c r="V104" i="4" s="1"/>
  <c r="I45" i="45"/>
  <c r="L45" i="45" s="1"/>
  <c r="V48" i="4" s="1"/>
  <c r="I184" i="45"/>
  <c r="I94" i="38"/>
  <c r="L94" i="38" s="1"/>
  <c r="D97" i="4" s="1"/>
  <c r="F97" i="4" s="1"/>
  <c r="I101" i="38"/>
  <c r="L101" i="38" s="1"/>
  <c r="D104" i="4" s="1"/>
  <c r="F104" i="4" s="1"/>
  <c r="I113" i="38"/>
  <c r="L113" i="38" s="1"/>
  <c r="D116" i="4" s="1"/>
  <c r="F116" i="4" s="1"/>
  <c r="I138" i="38"/>
  <c r="L138" i="38" s="1"/>
  <c r="D141" i="4" s="1"/>
  <c r="F141" i="4" s="1"/>
  <c r="I173" i="38"/>
  <c r="L173" i="38" s="1"/>
  <c r="D176" i="4" s="1"/>
  <c r="F176" i="4" s="1"/>
  <c r="I65" i="38"/>
  <c r="L65" i="38" s="1"/>
  <c r="D68" i="4" s="1"/>
  <c r="F68" i="4" s="1"/>
  <c r="I168" i="38"/>
  <c r="L168" i="38" s="1"/>
  <c r="I60" i="38"/>
  <c r="L60" i="38" s="1"/>
  <c r="I79" i="38"/>
  <c r="L79" i="38" s="1"/>
  <c r="D82" i="4" s="1"/>
  <c r="F82" i="4" s="1"/>
  <c r="I43" i="38"/>
  <c r="L43" i="38" s="1"/>
  <c r="D46" i="4" s="1"/>
  <c r="F46" i="4" s="1"/>
  <c r="I66" i="38"/>
  <c r="L66" i="38" s="1"/>
  <c r="D69" i="4" s="1"/>
  <c r="F69" i="4" s="1"/>
  <c r="I5" i="38"/>
  <c r="L5" i="38" s="1"/>
  <c r="D8" i="4" s="1"/>
  <c r="F8" i="4" s="1"/>
  <c r="I92" i="38"/>
  <c r="L92" i="38" s="1"/>
  <c r="D95" i="4" s="1"/>
  <c r="F95" i="4" s="1"/>
  <c r="I8" i="38"/>
  <c r="L8" i="38" s="1"/>
  <c r="D11" i="4" s="1"/>
  <c r="F11" i="4" s="1"/>
  <c r="I15" i="38"/>
  <c r="L15" i="38" s="1"/>
  <c r="D18" i="4" s="1"/>
  <c r="F18" i="4" s="1"/>
  <c r="I156" i="38"/>
  <c r="L156" i="38" s="1"/>
  <c r="D159" i="4" s="1"/>
  <c r="F159" i="4" s="1"/>
  <c r="I44" i="38"/>
  <c r="L44" i="38" s="1"/>
  <c r="D47" i="4" s="1"/>
  <c r="F47" i="4" s="1"/>
  <c r="I53" i="38"/>
  <c r="L53" i="38" s="1"/>
  <c r="D56" i="4" s="1"/>
  <c r="F56" i="4" s="1"/>
  <c r="I133" i="38"/>
  <c r="L133" i="38" s="1"/>
  <c r="D136" i="4" s="1"/>
  <c r="F136" i="4" s="1"/>
  <c r="I146" i="38"/>
  <c r="L146" i="38" s="1"/>
  <c r="D149" i="4" s="1"/>
  <c r="F149" i="4" s="1"/>
  <c r="I149" i="38"/>
  <c r="L149" i="38" s="1"/>
  <c r="D152" i="4" s="1"/>
  <c r="F152" i="4" s="1"/>
  <c r="I74" i="38"/>
  <c r="L74" i="38" s="1"/>
  <c r="I58" i="38"/>
  <c r="L58" i="38" s="1"/>
  <c r="D61" i="4" s="1"/>
  <c r="F61" i="4" s="1"/>
  <c r="I21" i="38"/>
  <c r="L21" i="38" s="1"/>
  <c r="D24" i="4" s="1"/>
  <c r="F24" i="4" s="1"/>
  <c r="I32" i="38"/>
  <c r="L32" i="38" s="1"/>
  <c r="D35" i="4" s="1"/>
  <c r="F35" i="4" s="1"/>
  <c r="I35" i="38"/>
  <c r="L35" i="38" s="1"/>
  <c r="D38" i="4" s="1"/>
  <c r="F38" i="4" s="1"/>
  <c r="I180" i="38"/>
  <c r="L180" i="38" s="1"/>
  <c r="D183" i="4" s="1"/>
  <c r="F183" i="4" s="1"/>
  <c r="I112" i="38"/>
  <c r="L112" i="38" s="1"/>
  <c r="D115" i="4" s="1"/>
  <c r="F115" i="4" s="1"/>
  <c r="I86" i="38"/>
  <c r="L86" i="38" s="1"/>
  <c r="I153" i="38"/>
  <c r="L153" i="38" s="1"/>
  <c r="D156" i="4" s="1"/>
  <c r="F156" i="4" s="1"/>
  <c r="I7" i="38"/>
  <c r="L7" i="38" s="1"/>
  <c r="D10" i="4" s="1"/>
  <c r="F10" i="4" s="1"/>
  <c r="I77" i="38"/>
  <c r="L77" i="38" s="1"/>
  <c r="D80" i="4" s="1"/>
  <c r="F80" i="4" s="1"/>
  <c r="I167" i="38"/>
  <c r="L167" i="38" s="1"/>
  <c r="D170" i="4" s="1"/>
  <c r="F170" i="4" s="1"/>
  <c r="I13" i="38"/>
  <c r="L13" i="38" s="1"/>
  <c r="D16" i="4" s="1"/>
  <c r="F16" i="4" s="1"/>
  <c r="I52" i="38"/>
  <c r="L52" i="38" s="1"/>
  <c r="D55" i="4" s="1"/>
  <c r="F55" i="4" s="1"/>
  <c r="I104" i="38"/>
  <c r="L104" i="38" s="1"/>
  <c r="D107" i="4" s="1"/>
  <c r="F107" i="4" s="1"/>
  <c r="I130" i="38"/>
  <c r="L130" i="38" s="1"/>
  <c r="D133" i="4" s="1"/>
  <c r="F133" i="4" s="1"/>
  <c r="I30" i="38"/>
  <c r="L30" i="38" s="1"/>
  <c r="D33" i="4" s="1"/>
  <c r="F33" i="4" s="1"/>
  <c r="I48" i="38"/>
  <c r="L48" i="38" s="1"/>
  <c r="I154" i="38"/>
  <c r="L154" i="38" s="1"/>
  <c r="D157" i="4" s="1"/>
  <c r="F157" i="4" s="1"/>
  <c r="I90" i="38"/>
  <c r="L90" i="38" s="1"/>
  <c r="D93" i="4" s="1"/>
  <c r="F93" i="4" s="1"/>
  <c r="I179" i="38"/>
  <c r="L179" i="38" s="1"/>
  <c r="I143" i="38"/>
  <c r="L143" i="38" s="1"/>
  <c r="D146" i="4" s="1"/>
  <c r="F146" i="4" s="1"/>
  <c r="I126" i="38"/>
  <c r="L126" i="38" s="1"/>
  <c r="D129" i="4" s="1"/>
  <c r="F129" i="4" s="1"/>
  <c r="I37" i="38"/>
  <c r="L37" i="38" s="1"/>
  <c r="D40" i="4" s="1"/>
  <c r="F40" i="4" s="1"/>
  <c r="I38" i="38"/>
  <c r="L38" i="38" s="1"/>
  <c r="D41" i="4" s="1"/>
  <c r="F41" i="4" s="1"/>
  <c r="I33" i="38"/>
  <c r="L33" i="38" s="1"/>
  <c r="D36" i="4" s="1"/>
  <c r="F36" i="4" s="1"/>
  <c r="I174" i="38"/>
  <c r="L174" i="38" s="1"/>
  <c r="D177" i="4" s="1"/>
  <c r="F177" i="4" s="1"/>
  <c r="I99" i="38"/>
  <c r="L99" i="38" s="1"/>
  <c r="D102" i="4" s="1"/>
  <c r="F102" i="4" s="1"/>
  <c r="I20" i="38"/>
  <c r="L20" i="38" s="1"/>
  <c r="D23" i="4" s="1"/>
  <c r="F23" i="4" s="1"/>
  <c r="I81" i="38"/>
  <c r="L81" i="38" s="1"/>
  <c r="D84" i="4" s="1"/>
  <c r="F84" i="4" s="1"/>
  <c r="I118" i="38"/>
  <c r="L118" i="38" s="1"/>
  <c r="D121" i="4" s="1"/>
  <c r="F121" i="4" s="1"/>
  <c r="I177" i="38"/>
  <c r="L177" i="38" s="1"/>
  <c r="D180" i="4" s="1"/>
  <c r="F180" i="4" s="1"/>
  <c r="I49" i="38"/>
  <c r="L49" i="38" s="1"/>
  <c r="D52" i="4" s="1"/>
  <c r="F52" i="4" s="1"/>
  <c r="I161" i="38"/>
  <c r="L161" i="38" s="1"/>
  <c r="D164" i="4" s="1"/>
  <c r="F164" i="4" s="1"/>
  <c r="I27" i="38"/>
  <c r="L27" i="38" s="1"/>
  <c r="D30" i="4" s="1"/>
  <c r="F30" i="4" s="1"/>
  <c r="I31" i="38"/>
  <c r="L31" i="38" s="1"/>
  <c r="D34" i="4" s="1"/>
  <c r="F34" i="4" s="1"/>
  <c r="I100" i="38"/>
  <c r="L100" i="38" s="1"/>
  <c r="D103" i="4" s="1"/>
  <c r="F103" i="4" s="1"/>
  <c r="I88" i="38"/>
  <c r="L88" i="38" s="1"/>
  <c r="D91" i="4" s="1"/>
  <c r="F91" i="4" s="1"/>
  <c r="I158" i="38"/>
  <c r="L158" i="38" s="1"/>
  <c r="D161" i="4" s="1"/>
  <c r="F161" i="4" s="1"/>
  <c r="I59" i="38"/>
  <c r="L59" i="38" s="1"/>
  <c r="D62" i="4" s="1"/>
  <c r="F62" i="4" s="1"/>
  <c r="I70" i="38"/>
  <c r="L70" i="38" s="1"/>
  <c r="D73" i="4" s="1"/>
  <c r="F73" i="4" s="1"/>
  <c r="I119" i="38"/>
  <c r="L119" i="38" s="1"/>
  <c r="I147" i="38"/>
  <c r="L147" i="38" s="1"/>
  <c r="D150" i="4" s="1"/>
  <c r="F150" i="4" s="1"/>
  <c r="I68" i="38"/>
  <c r="L68" i="38" s="1"/>
  <c r="D71" i="4" s="1"/>
  <c r="F71" i="4" s="1"/>
  <c r="I170" i="38"/>
  <c r="L170" i="38" s="1"/>
  <c r="I56" i="38"/>
  <c r="L56" i="38" s="1"/>
  <c r="D59" i="4" s="1"/>
  <c r="F59" i="4" s="1"/>
  <c r="I22" i="38"/>
  <c r="L22" i="38" s="1"/>
  <c r="D25" i="4" s="1"/>
  <c r="F25" i="4" s="1"/>
  <c r="I17" i="38"/>
  <c r="L17" i="38" s="1"/>
  <c r="D20" i="4" s="1"/>
  <c r="F20" i="4" s="1"/>
  <c r="I145" i="38"/>
  <c r="L145" i="38" s="1"/>
  <c r="D148" i="4" s="1"/>
  <c r="F148" i="4" s="1"/>
  <c r="I102" i="38"/>
  <c r="L102" i="38" s="1"/>
  <c r="D105" i="4" s="1"/>
  <c r="F105" i="4" s="1"/>
  <c r="I107" i="38"/>
  <c r="L107" i="38" s="1"/>
  <c r="D110" i="4" s="1"/>
  <c r="F110" i="4" s="1"/>
  <c r="I6" i="38"/>
  <c r="L6" i="38" s="1"/>
  <c r="D9" i="4" s="1"/>
  <c r="F9" i="4" s="1"/>
  <c r="I108" i="38"/>
  <c r="L108" i="38" s="1"/>
  <c r="D111" i="4" s="1"/>
  <c r="F111" i="4" s="1"/>
  <c r="I42" i="38"/>
  <c r="L42" i="38" s="1"/>
  <c r="D45" i="4" s="1"/>
  <c r="F45" i="4" s="1"/>
  <c r="I136" i="38"/>
  <c r="L136" i="38" s="1"/>
  <c r="D139" i="4" s="1"/>
  <c r="F139" i="4" s="1"/>
  <c r="I164" i="38"/>
  <c r="L164" i="38" s="1"/>
  <c r="I160" i="38"/>
  <c r="L160" i="38" s="1"/>
  <c r="D163" i="4" s="1"/>
  <c r="F163" i="4" s="1"/>
  <c r="I127" i="38"/>
  <c r="L127" i="38" s="1"/>
  <c r="D130" i="4" s="1"/>
  <c r="F130" i="4" s="1"/>
  <c r="I134" i="38"/>
  <c r="L134" i="38" s="1"/>
  <c r="D137" i="4" s="1"/>
  <c r="F137" i="4" s="1"/>
  <c r="I95" i="38"/>
  <c r="L95" i="38" s="1"/>
  <c r="D98" i="4" s="1"/>
  <c r="F98" i="4" s="1"/>
  <c r="I175" i="38"/>
  <c r="L175" i="38" s="1"/>
  <c r="D178" i="4" s="1"/>
  <c r="F178" i="4" s="1"/>
  <c r="I140" i="38"/>
  <c r="L140" i="38" s="1"/>
  <c r="D143" i="4" s="1"/>
  <c r="F143" i="4" s="1"/>
  <c r="I80" i="38"/>
  <c r="L80" i="38" s="1"/>
  <c r="D83" i="4" s="1"/>
  <c r="F83" i="4" s="1"/>
  <c r="I51" i="38"/>
  <c r="L51" i="38" s="1"/>
  <c r="D54" i="4" s="1"/>
  <c r="F54" i="4" s="1"/>
  <c r="I106" i="38"/>
  <c r="L106" i="38" s="1"/>
  <c r="D109" i="4" s="1"/>
  <c r="F109" i="4" s="1"/>
  <c r="I91" i="38"/>
  <c r="L91" i="38" s="1"/>
  <c r="D94" i="4" s="1"/>
  <c r="F94" i="4" s="1"/>
  <c r="I105" i="38"/>
  <c r="L105" i="38" s="1"/>
  <c r="D108" i="4" s="1"/>
  <c r="F108" i="4" s="1"/>
  <c r="I47" i="38"/>
  <c r="L47" i="38" s="1"/>
  <c r="D50" i="4" s="1"/>
  <c r="F50" i="4" s="1"/>
  <c r="I122" i="38"/>
  <c r="L122" i="38" s="1"/>
  <c r="D125" i="4" s="1"/>
  <c r="F125" i="4" s="1"/>
  <c r="I14" i="38"/>
  <c r="L14" i="38" s="1"/>
  <c r="D17" i="4" s="1"/>
  <c r="F17" i="4" s="1"/>
  <c r="I117" i="38"/>
  <c r="L117" i="38" s="1"/>
  <c r="D120" i="4" s="1"/>
  <c r="F120" i="4" s="1"/>
  <c r="I162" i="38"/>
  <c r="L162" i="38" s="1"/>
  <c r="D165" i="4" s="1"/>
  <c r="F165" i="4" s="1"/>
  <c r="I10" i="38"/>
  <c r="L10" i="38" s="1"/>
  <c r="D13" i="4" s="1"/>
  <c r="F13" i="4" s="1"/>
  <c r="I131" i="38"/>
  <c r="L131" i="38" s="1"/>
  <c r="D134" i="4" s="1"/>
  <c r="F134" i="4" s="1"/>
  <c r="I165" i="38"/>
  <c r="L165" i="38" s="1"/>
  <c r="D168" i="4" s="1"/>
  <c r="F168" i="4" s="1"/>
  <c r="I16" i="38"/>
  <c r="L16" i="38" s="1"/>
  <c r="D19" i="4" s="1"/>
  <c r="F19" i="4" s="1"/>
  <c r="I114" i="38"/>
  <c r="L114" i="38" s="1"/>
  <c r="I83" i="38"/>
  <c r="L83" i="38" s="1"/>
  <c r="D86" i="4" s="1"/>
  <c r="F86" i="4" s="1"/>
  <c r="I24" i="38"/>
  <c r="L24" i="38" s="1"/>
  <c r="D27" i="4" s="1"/>
  <c r="F27" i="4" s="1"/>
  <c r="I157" i="38"/>
  <c r="L157" i="38" s="1"/>
  <c r="I98" i="38"/>
  <c r="L98" i="38" s="1"/>
  <c r="D101" i="4" s="1"/>
  <c r="F101" i="4" s="1"/>
  <c r="I26" i="38"/>
  <c r="L26" i="38" s="1"/>
  <c r="D29" i="4" s="1"/>
  <c r="F29" i="4" s="1"/>
  <c r="I76" i="38"/>
  <c r="L76" i="38" s="1"/>
  <c r="D79" i="4" s="1"/>
  <c r="F79" i="4" s="1"/>
  <c r="I166" i="38"/>
  <c r="L166" i="38" s="1"/>
  <c r="D169" i="4" s="1"/>
  <c r="F169" i="4" s="1"/>
  <c r="I135" i="38"/>
  <c r="L135" i="38" s="1"/>
  <c r="I148" i="38"/>
  <c r="L148" i="38" s="1"/>
  <c r="D151" i="4" s="1"/>
  <c r="F151" i="4" s="1"/>
  <c r="I36" i="38"/>
  <c r="L36" i="38" s="1"/>
  <c r="D39" i="4" s="1"/>
  <c r="F39" i="4" s="1"/>
  <c r="I176" i="38"/>
  <c r="L176" i="38" s="1"/>
  <c r="D179" i="4" s="1"/>
  <c r="F179" i="4" s="1"/>
  <c r="I64" i="38"/>
  <c r="L64" i="38" s="1"/>
  <c r="D67" i="4" s="1"/>
  <c r="F67" i="4" s="1"/>
  <c r="I144" i="38"/>
  <c r="L144" i="38" s="1"/>
  <c r="D147" i="4" s="1"/>
  <c r="F147" i="4" s="1"/>
  <c r="I129" i="38"/>
  <c r="L129" i="38" s="1"/>
  <c r="I73" i="38"/>
  <c r="L73" i="38" s="1"/>
  <c r="D76" i="4" s="1"/>
  <c r="F76" i="4" s="1"/>
  <c r="I28" i="38"/>
  <c r="L28" i="38" s="1"/>
  <c r="D31" i="4" s="1"/>
  <c r="F31" i="4" s="1"/>
  <c r="I182" i="38"/>
  <c r="L182" i="38" s="1"/>
  <c r="D185" i="4" s="1"/>
  <c r="F185" i="4" s="1"/>
  <c r="I159" i="38"/>
  <c r="L159" i="38" s="1"/>
  <c r="D162" i="4" s="1"/>
  <c r="F162" i="4" s="1"/>
  <c r="I54" i="38"/>
  <c r="L54" i="38" s="1"/>
  <c r="D57" i="4" s="1"/>
  <c r="F57" i="4" s="1"/>
  <c r="I63" i="38"/>
  <c r="L63" i="38" s="1"/>
  <c r="D66" i="4" s="1"/>
  <c r="F66" i="4" s="1"/>
  <c r="I72" i="38"/>
  <c r="L72" i="38" s="1"/>
  <c r="D75" i="4" s="1"/>
  <c r="F75" i="4" s="1"/>
  <c r="H183" i="38"/>
  <c r="I183" i="38" s="1"/>
  <c r="G200" i="38"/>
  <c r="I123" i="38"/>
  <c r="L123" i="38" s="1"/>
  <c r="D126" i="4" s="1"/>
  <c r="F126" i="4" s="1"/>
  <c r="I150" i="38"/>
  <c r="L150" i="38" s="1"/>
  <c r="D153" i="4" s="1"/>
  <c r="F153" i="4" s="1"/>
  <c r="I120" i="38"/>
  <c r="L120" i="38" s="1"/>
  <c r="D123" i="4" s="1"/>
  <c r="F123" i="4" s="1"/>
  <c r="I124" i="38"/>
  <c r="L124" i="38" s="1"/>
  <c r="D127" i="4" s="1"/>
  <c r="F127" i="4" s="1"/>
  <c r="I69" i="38"/>
  <c r="L69" i="38" s="1"/>
  <c r="I82" i="38"/>
  <c r="L82" i="38" s="1"/>
  <c r="D85" i="4" s="1"/>
  <c r="F85" i="4" s="1"/>
  <c r="I89" i="38"/>
  <c r="L89" i="38" s="1"/>
  <c r="D92" i="4" s="1"/>
  <c r="F92" i="4" s="1"/>
  <c r="I41" i="38"/>
  <c r="L41" i="38" s="1"/>
  <c r="D44" i="4" s="1"/>
  <c r="F44" i="4" s="1"/>
  <c r="I163" i="38"/>
  <c r="L163" i="38" s="1"/>
  <c r="D166" i="4" s="1"/>
  <c r="F166" i="4" s="1"/>
  <c r="I3" i="38"/>
  <c r="I9" i="38"/>
  <c r="L9" i="38" s="1"/>
  <c r="D12" i="4" s="1"/>
  <c r="F12" i="4" s="1"/>
  <c r="I57" i="38"/>
  <c r="L57" i="38" s="1"/>
  <c r="I103" i="38"/>
  <c r="L103" i="38" s="1"/>
  <c r="I116" i="38"/>
  <c r="L116" i="38" s="1"/>
  <c r="D119" i="4" s="1"/>
  <c r="F119" i="4" s="1"/>
  <c r="I73" i="51" l="1"/>
  <c r="L73" i="51" s="1"/>
  <c r="AK76" i="4" s="1"/>
  <c r="I121" i="51"/>
  <c r="L121" i="51" s="1"/>
  <c r="AK124" i="4" s="1"/>
  <c r="I87" i="51"/>
  <c r="L87" i="51" s="1"/>
  <c r="AK90" i="4" s="1"/>
  <c r="I79" i="51"/>
  <c r="L79" i="51" s="1"/>
  <c r="AK82" i="4" s="1"/>
  <c r="I15" i="51"/>
  <c r="L15" i="51" s="1"/>
  <c r="AK18" i="4" s="1"/>
  <c r="I42" i="51"/>
  <c r="L42" i="51" s="1"/>
  <c r="AK45" i="4" s="1"/>
  <c r="I43" i="51"/>
  <c r="L43" i="51" s="1"/>
  <c r="AK46" i="4" s="1"/>
  <c r="I32" i="51"/>
  <c r="L32" i="51" s="1"/>
  <c r="AK35" i="4" s="1"/>
  <c r="I6" i="51"/>
  <c r="L6" i="51" s="1"/>
  <c r="AK9" i="4" s="1"/>
  <c r="I11" i="51"/>
  <c r="L11" i="51" s="1"/>
  <c r="AK14" i="4" s="1"/>
  <c r="I101" i="51"/>
  <c r="L101" i="51" s="1"/>
  <c r="AK104" i="4" s="1"/>
  <c r="I80" i="51"/>
  <c r="L80" i="51" s="1"/>
  <c r="AK83" i="4" s="1"/>
  <c r="I136" i="51"/>
  <c r="L136" i="51" s="1"/>
  <c r="AK139" i="4" s="1"/>
  <c r="I75" i="51"/>
  <c r="L75" i="51" s="1"/>
  <c r="AK78" i="4" s="1"/>
  <c r="I4" i="51"/>
  <c r="L4" i="51" s="1"/>
  <c r="AK7" i="4" s="1"/>
  <c r="I49" i="51"/>
  <c r="L49" i="51" s="1"/>
  <c r="AK52" i="4" s="1"/>
  <c r="I168" i="51"/>
  <c r="L168" i="51" s="1"/>
  <c r="AK171" i="4" s="1"/>
  <c r="H178" i="51"/>
  <c r="I1" i="51"/>
  <c r="I143" i="51"/>
  <c r="L143" i="51" s="1"/>
  <c r="AK146" i="4" s="1"/>
  <c r="I175" i="51"/>
  <c r="L175" i="51" s="1"/>
  <c r="AK178" i="4" s="1"/>
  <c r="I5" i="51"/>
  <c r="L5" i="51" s="1"/>
  <c r="AK8" i="4" s="1"/>
  <c r="I66" i="51"/>
  <c r="L66" i="51" s="1"/>
  <c r="AK69" i="4" s="1"/>
  <c r="I17" i="51"/>
  <c r="L17" i="51" s="1"/>
  <c r="AK20" i="4" s="1"/>
  <c r="H183" i="48"/>
  <c r="I183" i="48" s="1"/>
  <c r="I3" i="48"/>
  <c r="H183" i="47"/>
  <c r="I183" i="47" s="1"/>
  <c r="I174" i="4"/>
  <c r="I140" i="44"/>
  <c r="L140" i="44" s="1"/>
  <c r="S143" i="4" s="1"/>
  <c r="I80" i="44"/>
  <c r="L80" i="44" s="1"/>
  <c r="S83" i="4" s="1"/>
  <c r="I112" i="44"/>
  <c r="L112" i="44" s="1"/>
  <c r="S115" i="4" s="1"/>
  <c r="I144" i="44"/>
  <c r="L144" i="44" s="1"/>
  <c r="S147" i="4" s="1"/>
  <c r="I176" i="44"/>
  <c r="L176" i="44" s="1"/>
  <c r="S179" i="4" s="1"/>
  <c r="I108" i="44"/>
  <c r="L108" i="44" s="1"/>
  <c r="S111" i="4" s="1"/>
  <c r="I116" i="44"/>
  <c r="L116" i="44" s="1"/>
  <c r="S119" i="4" s="1"/>
  <c r="I148" i="44"/>
  <c r="L148" i="44" s="1"/>
  <c r="S151" i="4" s="1"/>
  <c r="I180" i="44"/>
  <c r="L180" i="44" s="1"/>
  <c r="S183" i="4" s="1"/>
  <c r="I172" i="44"/>
  <c r="L172" i="44" s="1"/>
  <c r="S175" i="4" s="1"/>
  <c r="I136" i="44"/>
  <c r="L136" i="44" s="1"/>
  <c r="S139" i="4" s="1"/>
  <c r="I34" i="44"/>
  <c r="L34" i="44" s="1"/>
  <c r="S37" i="4" s="1"/>
  <c r="I81" i="44"/>
  <c r="L81" i="44" s="1"/>
  <c r="S84" i="4" s="1"/>
  <c r="I104" i="44"/>
  <c r="L104" i="44" s="1"/>
  <c r="S107" i="4" s="1"/>
  <c r="I27" i="44"/>
  <c r="L27" i="44" s="1"/>
  <c r="S30" i="4" s="1"/>
  <c r="I134" i="44"/>
  <c r="L134" i="44" s="1"/>
  <c r="S137" i="4" s="1"/>
  <c r="I93" i="44"/>
  <c r="L93" i="44" s="1"/>
  <c r="S96" i="4" s="1"/>
  <c r="I54" i="44"/>
  <c r="L54" i="44" s="1"/>
  <c r="S57" i="4" s="1"/>
  <c r="I84" i="44"/>
  <c r="L84" i="44" s="1"/>
  <c r="S87" i="4" s="1"/>
  <c r="I18" i="44"/>
  <c r="L18" i="44" s="1"/>
  <c r="S21" i="4" s="1"/>
  <c r="I32" i="44"/>
  <c r="L32" i="44" s="1"/>
  <c r="S35" i="4" s="1"/>
  <c r="I125" i="44"/>
  <c r="L125" i="44" s="1"/>
  <c r="S128" i="4" s="1"/>
  <c r="I157" i="44"/>
  <c r="L157" i="44" s="1"/>
  <c r="S160" i="4" s="1"/>
  <c r="I15" i="44"/>
  <c r="L15" i="44" s="1"/>
  <c r="S18" i="4" s="1"/>
  <c r="I166" i="44"/>
  <c r="L166" i="44" s="1"/>
  <c r="S169" i="4" s="1"/>
  <c r="I102" i="44"/>
  <c r="L102" i="44" s="1"/>
  <c r="S105" i="4" s="1"/>
  <c r="I10" i="44"/>
  <c r="L10" i="44" s="1"/>
  <c r="S13" i="4" s="1"/>
  <c r="I14" i="44"/>
  <c r="L14" i="44" s="1"/>
  <c r="S17" i="4" s="1"/>
  <c r="I98" i="44"/>
  <c r="L98" i="44" s="1"/>
  <c r="S101" i="4" s="1"/>
  <c r="I162" i="44"/>
  <c r="L162" i="44" s="1"/>
  <c r="S165" i="4" s="1"/>
  <c r="I5" i="44"/>
  <c r="L5" i="44" s="1"/>
  <c r="S8" i="4" s="1"/>
  <c r="I23" i="44"/>
  <c r="L23" i="44" s="1"/>
  <c r="S26" i="4" s="1"/>
  <c r="I75" i="44"/>
  <c r="L75" i="44" s="1"/>
  <c r="S78" i="4" s="1"/>
  <c r="I9" i="44"/>
  <c r="L9" i="44" s="1"/>
  <c r="S12" i="4" s="1"/>
  <c r="I4" i="44"/>
  <c r="L4" i="44" s="1"/>
  <c r="S7" i="4" s="1"/>
  <c r="I59" i="44"/>
  <c r="L59" i="44" s="1"/>
  <c r="S62" i="4" s="1"/>
  <c r="I117" i="44"/>
  <c r="L117" i="44" s="1"/>
  <c r="S120" i="4" s="1"/>
  <c r="I149" i="44"/>
  <c r="L149" i="44" s="1"/>
  <c r="S152" i="4" s="1"/>
  <c r="I64" i="44"/>
  <c r="L64" i="44" s="1"/>
  <c r="S67" i="4" s="1"/>
  <c r="I39" i="44"/>
  <c r="L39" i="44" s="1"/>
  <c r="S42" i="4" s="1"/>
  <c r="I126" i="44"/>
  <c r="L126" i="44" s="1"/>
  <c r="S129" i="4" s="1"/>
  <c r="I66" i="44"/>
  <c r="L66" i="44" s="1"/>
  <c r="S69" i="4" s="1"/>
  <c r="I83" i="44"/>
  <c r="L83" i="44" s="1"/>
  <c r="S86" i="4" s="1"/>
  <c r="I16" i="44"/>
  <c r="L16" i="44" s="1"/>
  <c r="S19" i="4" s="1"/>
  <c r="I147" i="44"/>
  <c r="L147" i="44" s="1"/>
  <c r="S150" i="4" s="1"/>
  <c r="I67" i="44"/>
  <c r="L67" i="44" s="1"/>
  <c r="S70" i="4" s="1"/>
  <c r="I158" i="44"/>
  <c r="L158" i="44" s="1"/>
  <c r="S161" i="4" s="1"/>
  <c r="I85" i="44"/>
  <c r="L85" i="44" s="1"/>
  <c r="S88" i="4" s="1"/>
  <c r="I151" i="4"/>
  <c r="I183" i="4"/>
  <c r="I115" i="4"/>
  <c r="I179" i="4"/>
  <c r="I83" i="4"/>
  <c r="I126" i="4"/>
  <c r="I100" i="4"/>
  <c r="I32" i="4"/>
  <c r="I172" i="4"/>
  <c r="I14" i="4"/>
  <c r="I37" i="4"/>
  <c r="I114" i="4"/>
  <c r="I42" i="4"/>
  <c r="I144" i="4"/>
  <c r="I53" i="4"/>
  <c r="I90" i="4"/>
  <c r="I181" i="4"/>
  <c r="I65" i="4"/>
  <c r="I43" i="4"/>
  <c r="I70" i="4"/>
  <c r="I7" i="4"/>
  <c r="I48" i="4"/>
  <c r="I78" i="4"/>
  <c r="I113" i="4"/>
  <c r="I96" i="4"/>
  <c r="I81" i="4"/>
  <c r="I145" i="4"/>
  <c r="I128" i="4"/>
  <c r="I26" i="4"/>
  <c r="I118" i="4"/>
  <c r="I28" i="4"/>
  <c r="I112" i="4"/>
  <c r="I99" i="4"/>
  <c r="I184" i="4"/>
  <c r="I135" i="4"/>
  <c r="I74" i="4"/>
  <c r="I140" i="4"/>
  <c r="I155" i="4"/>
  <c r="I131" i="4"/>
  <c r="I118" i="42"/>
  <c r="L118" i="42" s="1"/>
  <c r="M121" i="4" s="1"/>
  <c r="I21" i="42"/>
  <c r="L21" i="42" s="1"/>
  <c r="M24" i="4" s="1"/>
  <c r="I76" i="42"/>
  <c r="L76" i="42" s="1"/>
  <c r="M79" i="4" s="1"/>
  <c r="I24" i="42"/>
  <c r="L24" i="42" s="1"/>
  <c r="M27" i="4" s="1"/>
  <c r="I27" i="42"/>
  <c r="L27" i="42" s="1"/>
  <c r="M30" i="4" s="1"/>
  <c r="I22" i="42"/>
  <c r="L22" i="42" s="1"/>
  <c r="M25" i="4" s="1"/>
  <c r="I79" i="42"/>
  <c r="L79" i="42" s="1"/>
  <c r="M82" i="4" s="1"/>
  <c r="I154" i="42"/>
  <c r="L154" i="42" s="1"/>
  <c r="M157" i="4" s="1"/>
  <c r="I30" i="42"/>
  <c r="L30" i="42" s="1"/>
  <c r="M33" i="4" s="1"/>
  <c r="I62" i="42"/>
  <c r="L62" i="42" s="1"/>
  <c r="M65" i="4" s="1"/>
  <c r="I101" i="42"/>
  <c r="L101" i="42" s="1"/>
  <c r="M104" i="4" s="1"/>
  <c r="I69" i="42"/>
  <c r="L69" i="42" s="1"/>
  <c r="M72" i="4" s="1"/>
  <c r="I104" i="42"/>
  <c r="L104" i="42" s="1"/>
  <c r="M107" i="4" s="1"/>
  <c r="I11" i="44"/>
  <c r="L11" i="44" s="1"/>
  <c r="S14" i="4" s="1"/>
  <c r="I8" i="44"/>
  <c r="L8" i="44" s="1"/>
  <c r="S11" i="4" s="1"/>
  <c r="I72" i="44"/>
  <c r="L72" i="44" s="1"/>
  <c r="S75" i="4" s="1"/>
  <c r="I130" i="44"/>
  <c r="L130" i="44" s="1"/>
  <c r="S133" i="4" s="1"/>
  <c r="I133" i="44"/>
  <c r="L133" i="44" s="1"/>
  <c r="S136" i="4" s="1"/>
  <c r="I165" i="44"/>
  <c r="L165" i="44" s="1"/>
  <c r="S168" i="4" s="1"/>
  <c r="I163" i="44"/>
  <c r="L163" i="44" s="1"/>
  <c r="S166" i="4" s="1"/>
  <c r="I45" i="44"/>
  <c r="L45" i="44" s="1"/>
  <c r="S48" i="4" s="1"/>
  <c r="I43" i="44"/>
  <c r="L43" i="44" s="1"/>
  <c r="S46" i="4" s="1"/>
  <c r="I74" i="44"/>
  <c r="L74" i="44" s="1"/>
  <c r="S77" i="4" s="1"/>
  <c r="I7" i="44"/>
  <c r="L7" i="44" s="1"/>
  <c r="S10" i="4" s="1"/>
  <c r="I77" i="44"/>
  <c r="L77" i="44" s="1"/>
  <c r="S80" i="4" s="1"/>
  <c r="I139" i="44"/>
  <c r="L139" i="44" s="1"/>
  <c r="S142" i="4" s="1"/>
  <c r="I6" i="44"/>
  <c r="L6" i="44" s="1"/>
  <c r="S9" i="4" s="1"/>
  <c r="I108" i="51"/>
  <c r="L108" i="51" s="1"/>
  <c r="AK111" i="4" s="1"/>
  <c r="I145" i="51"/>
  <c r="L145" i="51" s="1"/>
  <c r="AK148" i="4" s="1"/>
  <c r="I159" i="51"/>
  <c r="L159" i="51" s="1"/>
  <c r="AK162" i="4" s="1"/>
  <c r="I55" i="51"/>
  <c r="L55" i="51" s="1"/>
  <c r="AK58" i="4" s="1"/>
  <c r="I115" i="51"/>
  <c r="L115" i="51" s="1"/>
  <c r="AK118" i="4" s="1"/>
  <c r="I111" i="51"/>
  <c r="L111" i="51" s="1"/>
  <c r="AK114" i="4" s="1"/>
  <c r="I119" i="51"/>
  <c r="L119" i="51" s="1"/>
  <c r="AK122" i="4" s="1"/>
  <c r="I151" i="51"/>
  <c r="L151" i="51" s="1"/>
  <c r="AK154" i="4" s="1"/>
  <c r="I23" i="51"/>
  <c r="L23" i="51" s="1"/>
  <c r="AK26" i="4" s="1"/>
  <c r="I156" i="51"/>
  <c r="L156" i="51" s="1"/>
  <c r="AK159" i="4" s="1"/>
  <c r="I93" i="51"/>
  <c r="L93" i="51" s="1"/>
  <c r="AK96" i="4" s="1"/>
  <c r="I150" i="51"/>
  <c r="L150" i="51" s="1"/>
  <c r="AK153" i="4" s="1"/>
  <c r="I137" i="51"/>
  <c r="L137" i="51" s="1"/>
  <c r="AK140" i="4" s="1"/>
  <c r="I94" i="4"/>
  <c r="I177" i="4"/>
  <c r="I156" i="4"/>
  <c r="I13" i="4"/>
  <c r="I16" i="51"/>
  <c r="L16" i="51" s="1"/>
  <c r="AK19" i="4" s="1"/>
  <c r="I60" i="51"/>
  <c r="L60" i="51" s="1"/>
  <c r="AK63" i="4" s="1"/>
  <c r="I170" i="51"/>
  <c r="L170" i="51" s="1"/>
  <c r="AK173" i="4" s="1"/>
  <c r="I179" i="51"/>
  <c r="L179" i="51" s="1"/>
  <c r="AK182" i="4" s="1"/>
  <c r="I174" i="51"/>
  <c r="L174" i="51" s="1"/>
  <c r="AK177" i="4" s="1"/>
  <c r="I100" i="51"/>
  <c r="L100" i="51" s="1"/>
  <c r="AK103" i="4" s="1"/>
  <c r="I28" i="51"/>
  <c r="L28" i="51" s="1"/>
  <c r="AK31" i="4" s="1"/>
  <c r="I44" i="51"/>
  <c r="L44" i="51" s="1"/>
  <c r="AK47" i="4" s="1"/>
  <c r="I122" i="51"/>
  <c r="L122" i="51" s="1"/>
  <c r="AK125" i="4" s="1"/>
  <c r="I141" i="51"/>
  <c r="L141" i="51" s="1"/>
  <c r="AK144" i="4" s="1"/>
  <c r="I13" i="51"/>
  <c r="L13" i="51" s="1"/>
  <c r="AK16" i="4" s="1"/>
  <c r="I152" i="51"/>
  <c r="L152" i="51" s="1"/>
  <c r="AK155" i="4" s="1"/>
  <c r="I134" i="51"/>
  <c r="L134" i="51" s="1"/>
  <c r="AK137" i="4" s="1"/>
  <c r="I91" i="51"/>
  <c r="L91" i="51" s="1"/>
  <c r="AK94" i="4" s="1"/>
  <c r="I81" i="51"/>
  <c r="L81" i="51" s="1"/>
  <c r="AK84" i="4" s="1"/>
  <c r="I138" i="51"/>
  <c r="L138" i="51" s="1"/>
  <c r="AK141" i="4" s="1"/>
  <c r="I31" i="51"/>
  <c r="L31" i="51" s="1"/>
  <c r="AK34" i="4" s="1"/>
  <c r="I9" i="51"/>
  <c r="L9" i="51" s="1"/>
  <c r="AK12" i="4" s="1"/>
  <c r="I47" i="51"/>
  <c r="L47" i="51" s="1"/>
  <c r="AK50" i="4" s="1"/>
  <c r="I124" i="51"/>
  <c r="L124" i="51" s="1"/>
  <c r="AK127" i="4" s="1"/>
  <c r="I126" i="51"/>
  <c r="L126" i="51" s="1"/>
  <c r="AK129" i="4" s="1"/>
  <c r="I177" i="51"/>
  <c r="L177" i="51" s="1"/>
  <c r="AK180" i="4" s="1"/>
  <c r="I34" i="51"/>
  <c r="L34" i="51" s="1"/>
  <c r="AK37" i="4" s="1"/>
  <c r="I50" i="51"/>
  <c r="L50" i="51" s="1"/>
  <c r="AK53" i="4" s="1"/>
  <c r="I38" i="51"/>
  <c r="L38" i="51" s="1"/>
  <c r="AK41" i="4" s="1"/>
  <c r="I20" i="51"/>
  <c r="L20" i="51" s="1"/>
  <c r="AK23" i="4" s="1"/>
  <c r="I41" i="51"/>
  <c r="L41" i="51" s="1"/>
  <c r="AK44" i="4" s="1"/>
  <c r="I130" i="51"/>
  <c r="L130" i="51" s="1"/>
  <c r="AK133" i="4" s="1"/>
  <c r="I181" i="51"/>
  <c r="L181" i="51" s="1"/>
  <c r="AK184" i="4" s="1"/>
  <c r="I107" i="51"/>
  <c r="L107" i="51" s="1"/>
  <c r="AK110" i="4" s="1"/>
  <c r="I171" i="51"/>
  <c r="L171" i="51" s="1"/>
  <c r="AK174" i="4" s="1"/>
  <c r="G183" i="51"/>
  <c r="G200" i="51"/>
  <c r="I3" i="51"/>
  <c r="I14" i="51"/>
  <c r="L14" i="51" s="1"/>
  <c r="AK17" i="4" s="1"/>
  <c r="I19" i="51"/>
  <c r="L19" i="51" s="1"/>
  <c r="AK22" i="4" s="1"/>
  <c r="I86" i="51"/>
  <c r="L86" i="51" s="1"/>
  <c r="AK89" i="4" s="1"/>
  <c r="I95" i="51"/>
  <c r="L95" i="51" s="1"/>
  <c r="AK98" i="4" s="1"/>
  <c r="I21" i="51"/>
  <c r="L21" i="51" s="1"/>
  <c r="AK24" i="4" s="1"/>
  <c r="I64" i="51"/>
  <c r="L64" i="51" s="1"/>
  <c r="AK67" i="4" s="1"/>
  <c r="I96" i="51"/>
  <c r="L96" i="51" s="1"/>
  <c r="AK99" i="4" s="1"/>
  <c r="I110" i="51"/>
  <c r="L110" i="51" s="1"/>
  <c r="AK113" i="4" s="1"/>
  <c r="I161" i="51"/>
  <c r="L161" i="51" s="1"/>
  <c r="AK164" i="4" s="1"/>
  <c r="I164" i="51"/>
  <c r="L164" i="51" s="1"/>
  <c r="AK167" i="4" s="1"/>
  <c r="H183" i="51"/>
  <c r="I26" i="51"/>
  <c r="L26" i="51" s="1"/>
  <c r="AK29" i="4" s="1"/>
  <c r="I160" i="51"/>
  <c r="L160" i="51" s="1"/>
  <c r="AK163" i="4" s="1"/>
  <c r="I128" i="51"/>
  <c r="L128" i="51" s="1"/>
  <c r="AK131" i="4" s="1"/>
  <c r="I22" i="51"/>
  <c r="L22" i="51" s="1"/>
  <c r="AK25" i="4" s="1"/>
  <c r="I58" i="51"/>
  <c r="L58" i="51" s="1"/>
  <c r="AK61" i="4" s="1"/>
  <c r="I132" i="51"/>
  <c r="L132" i="51" s="1"/>
  <c r="AK135" i="4" s="1"/>
  <c r="I25" i="51"/>
  <c r="L25" i="51" s="1"/>
  <c r="AK28" i="4" s="1"/>
  <c r="I68" i="51"/>
  <c r="L68" i="51" s="1"/>
  <c r="AK71" i="4" s="1"/>
  <c r="I146" i="51"/>
  <c r="L146" i="51" s="1"/>
  <c r="AK149" i="4" s="1"/>
  <c r="I178" i="51"/>
  <c r="L178" i="51" s="1"/>
  <c r="AK181" i="4" s="1"/>
  <c r="I133" i="51"/>
  <c r="L133" i="51" s="1"/>
  <c r="AK136" i="4" s="1"/>
  <c r="I123" i="51"/>
  <c r="L123" i="51" s="1"/>
  <c r="AK126" i="4" s="1"/>
  <c r="I155" i="51"/>
  <c r="L155" i="51" s="1"/>
  <c r="AK158" i="4" s="1"/>
  <c r="I48" i="51"/>
  <c r="L48" i="51" s="1"/>
  <c r="AK51" i="4" s="1"/>
  <c r="I67" i="51"/>
  <c r="L67" i="51" s="1"/>
  <c r="AK70" i="4" s="1"/>
  <c r="I72" i="51"/>
  <c r="L72" i="51" s="1"/>
  <c r="AK75" i="4" s="1"/>
  <c r="I104" i="51"/>
  <c r="L104" i="51" s="1"/>
  <c r="AK107" i="4" s="1"/>
  <c r="I182" i="51"/>
  <c r="L182" i="51" s="1"/>
  <c r="AK185" i="4" s="1"/>
  <c r="I62" i="51"/>
  <c r="L62" i="51" s="1"/>
  <c r="AK65" i="4" s="1"/>
  <c r="I147" i="51"/>
  <c r="L147" i="51" s="1"/>
  <c r="AK150" i="4" s="1"/>
  <c r="I74" i="51"/>
  <c r="L74" i="51" s="1"/>
  <c r="AK77" i="4" s="1"/>
  <c r="I33" i="51"/>
  <c r="L33" i="51" s="1"/>
  <c r="AK36" i="4" s="1"/>
  <c r="I97" i="51"/>
  <c r="L97" i="51" s="1"/>
  <c r="AK100" i="4" s="1"/>
  <c r="I154" i="51"/>
  <c r="L154" i="51" s="1"/>
  <c r="AK157" i="4" s="1"/>
  <c r="I109" i="51"/>
  <c r="L109" i="51" s="1"/>
  <c r="AK112" i="4" s="1"/>
  <c r="I173" i="51"/>
  <c r="L173" i="51" s="1"/>
  <c r="AK176" i="4" s="1"/>
  <c r="I163" i="51"/>
  <c r="L163" i="51" s="1"/>
  <c r="AK166" i="4" s="1"/>
  <c r="I14" i="49"/>
  <c r="L14" i="49" s="1"/>
  <c r="AE17" i="4" s="1"/>
  <c r="I22" i="49"/>
  <c r="L22" i="49" s="1"/>
  <c r="AE25" i="4" s="1"/>
  <c r="I30" i="49"/>
  <c r="L30" i="49" s="1"/>
  <c r="AE33" i="4" s="1"/>
  <c r="I38" i="49"/>
  <c r="L38" i="49" s="1"/>
  <c r="AE41" i="4" s="1"/>
  <c r="I46" i="49"/>
  <c r="L46" i="49" s="1"/>
  <c r="AE49" i="4" s="1"/>
  <c r="I54" i="49"/>
  <c r="L54" i="49" s="1"/>
  <c r="AE57" i="4" s="1"/>
  <c r="I78" i="49"/>
  <c r="L78" i="49" s="1"/>
  <c r="AE81" i="4" s="1"/>
  <c r="I86" i="49"/>
  <c r="L86" i="49" s="1"/>
  <c r="AE89" i="4" s="1"/>
  <c r="I94" i="49"/>
  <c r="L94" i="49" s="1"/>
  <c r="AE97" i="4" s="1"/>
  <c r="I102" i="49"/>
  <c r="L102" i="49" s="1"/>
  <c r="AE105" i="4" s="1"/>
  <c r="I110" i="49"/>
  <c r="L110" i="49" s="1"/>
  <c r="AE113" i="4" s="1"/>
  <c r="I118" i="49"/>
  <c r="L118" i="49" s="1"/>
  <c r="AE121" i="4" s="1"/>
  <c r="I142" i="49"/>
  <c r="L142" i="49" s="1"/>
  <c r="AE145" i="4" s="1"/>
  <c r="I150" i="49"/>
  <c r="L150" i="49" s="1"/>
  <c r="AE153" i="4" s="1"/>
  <c r="I158" i="49"/>
  <c r="L158" i="49" s="1"/>
  <c r="AE161" i="4" s="1"/>
  <c r="I166" i="49"/>
  <c r="L166" i="49" s="1"/>
  <c r="AE169" i="4" s="1"/>
  <c r="I174" i="49"/>
  <c r="L174" i="49" s="1"/>
  <c r="AE177" i="4" s="1"/>
  <c r="I182" i="49"/>
  <c r="L182" i="49" s="1"/>
  <c r="I7" i="49"/>
  <c r="L7" i="49" s="1"/>
  <c r="AE10" i="4" s="1"/>
  <c r="I15" i="49"/>
  <c r="L15" i="49" s="1"/>
  <c r="AE18" i="4" s="1"/>
  <c r="I23" i="49"/>
  <c r="L23" i="49" s="1"/>
  <c r="AE26" i="4" s="1"/>
  <c r="I31" i="49"/>
  <c r="L31" i="49" s="1"/>
  <c r="AE34" i="4" s="1"/>
  <c r="I39" i="49"/>
  <c r="L39" i="49" s="1"/>
  <c r="AE42" i="4" s="1"/>
  <c r="I47" i="49"/>
  <c r="L47" i="49" s="1"/>
  <c r="AE50" i="4" s="1"/>
  <c r="I55" i="49"/>
  <c r="L55" i="49" s="1"/>
  <c r="AE58" i="4" s="1"/>
  <c r="I63" i="49"/>
  <c r="L63" i="49" s="1"/>
  <c r="AE66" i="4" s="1"/>
  <c r="I71" i="49"/>
  <c r="L71" i="49" s="1"/>
  <c r="AE74" i="4" s="1"/>
  <c r="I79" i="49"/>
  <c r="L79" i="49" s="1"/>
  <c r="AE82" i="4" s="1"/>
  <c r="I95" i="49"/>
  <c r="L95" i="49" s="1"/>
  <c r="AE98" i="4" s="1"/>
  <c r="I103" i="49"/>
  <c r="L103" i="49" s="1"/>
  <c r="AE106" i="4" s="1"/>
  <c r="I111" i="49"/>
  <c r="L111" i="49" s="1"/>
  <c r="AE114" i="4" s="1"/>
  <c r="I119" i="49"/>
  <c r="L119" i="49" s="1"/>
  <c r="AE122" i="4" s="1"/>
  <c r="I127" i="49"/>
  <c r="L127" i="49" s="1"/>
  <c r="AE130" i="4" s="1"/>
  <c r="I135" i="49"/>
  <c r="L135" i="49" s="1"/>
  <c r="AE138" i="4" s="1"/>
  <c r="I159" i="49"/>
  <c r="L159" i="49" s="1"/>
  <c r="AE162" i="4" s="1"/>
  <c r="I167" i="49"/>
  <c r="L167" i="49" s="1"/>
  <c r="AE170" i="4" s="1"/>
  <c r="I175" i="49"/>
  <c r="L175" i="49" s="1"/>
  <c r="AE178" i="4" s="1"/>
  <c r="I4" i="49"/>
  <c r="L4" i="49" s="1"/>
  <c r="AE7" i="4" s="1"/>
  <c r="I36" i="49"/>
  <c r="L36" i="49" s="1"/>
  <c r="AE39" i="4" s="1"/>
  <c r="I52" i="49"/>
  <c r="L52" i="49" s="1"/>
  <c r="AE55" i="4" s="1"/>
  <c r="I76" i="49"/>
  <c r="L76" i="49" s="1"/>
  <c r="AE79" i="4" s="1"/>
  <c r="I92" i="49"/>
  <c r="L92" i="49" s="1"/>
  <c r="AE95" i="4" s="1"/>
  <c r="I124" i="49"/>
  <c r="L124" i="49" s="1"/>
  <c r="AE127" i="4" s="1"/>
  <c r="I140" i="49"/>
  <c r="L140" i="49" s="1"/>
  <c r="AE143" i="4" s="1"/>
  <c r="I156" i="49"/>
  <c r="L156" i="49" s="1"/>
  <c r="AE159" i="4" s="1"/>
  <c r="I13" i="49"/>
  <c r="L13" i="49" s="1"/>
  <c r="AE16" i="4" s="1"/>
  <c r="I53" i="49"/>
  <c r="L53" i="49" s="1"/>
  <c r="AE56" i="4" s="1"/>
  <c r="I77" i="49"/>
  <c r="L77" i="49" s="1"/>
  <c r="AE80" i="4" s="1"/>
  <c r="I93" i="49"/>
  <c r="L93" i="49" s="1"/>
  <c r="AE96" i="4" s="1"/>
  <c r="I117" i="49"/>
  <c r="L117" i="49" s="1"/>
  <c r="AE120" i="4" s="1"/>
  <c r="I141" i="49"/>
  <c r="L141" i="49" s="1"/>
  <c r="AE144" i="4" s="1"/>
  <c r="I165" i="49"/>
  <c r="L165" i="49" s="1"/>
  <c r="AE168" i="4" s="1"/>
  <c r="I61" i="49"/>
  <c r="L61" i="49" s="1"/>
  <c r="AE64" i="4" s="1"/>
  <c r="I8" i="49"/>
  <c r="L8" i="49" s="1"/>
  <c r="AE11" i="4" s="1"/>
  <c r="I16" i="49"/>
  <c r="L16" i="49" s="1"/>
  <c r="AE19" i="4" s="1"/>
  <c r="I24" i="49"/>
  <c r="L24" i="49" s="1"/>
  <c r="AE27" i="4" s="1"/>
  <c r="I32" i="49"/>
  <c r="L32" i="49" s="1"/>
  <c r="AE35" i="4" s="1"/>
  <c r="I40" i="49"/>
  <c r="L40" i="49" s="1"/>
  <c r="AE43" i="4" s="1"/>
  <c r="I48" i="49"/>
  <c r="L48" i="49" s="1"/>
  <c r="AE51" i="4" s="1"/>
  <c r="I56" i="49"/>
  <c r="L56" i="49" s="1"/>
  <c r="AE59" i="4" s="1"/>
  <c r="I64" i="49"/>
  <c r="L64" i="49" s="1"/>
  <c r="AE67" i="4" s="1"/>
  <c r="I72" i="49"/>
  <c r="L72" i="49" s="1"/>
  <c r="AE75" i="4" s="1"/>
  <c r="I80" i="49"/>
  <c r="L80" i="49" s="1"/>
  <c r="AE83" i="4" s="1"/>
  <c r="I88" i="49"/>
  <c r="L88" i="49" s="1"/>
  <c r="AE91" i="4" s="1"/>
  <c r="I96" i="49"/>
  <c r="L96" i="49" s="1"/>
  <c r="AE99" i="4" s="1"/>
  <c r="I104" i="49"/>
  <c r="L104" i="49" s="1"/>
  <c r="AE107" i="4" s="1"/>
  <c r="I112" i="49"/>
  <c r="L112" i="49" s="1"/>
  <c r="AE115" i="4" s="1"/>
  <c r="I120" i="49"/>
  <c r="L120" i="49" s="1"/>
  <c r="AE123" i="4" s="1"/>
  <c r="I128" i="49"/>
  <c r="L128" i="49" s="1"/>
  <c r="AE131" i="4" s="1"/>
  <c r="I136" i="49"/>
  <c r="L136" i="49" s="1"/>
  <c r="AE139" i="4" s="1"/>
  <c r="I144" i="49"/>
  <c r="L144" i="49" s="1"/>
  <c r="AE147" i="4" s="1"/>
  <c r="I152" i="49"/>
  <c r="L152" i="49" s="1"/>
  <c r="AE155" i="4" s="1"/>
  <c r="I160" i="49"/>
  <c r="L160" i="49" s="1"/>
  <c r="AE163" i="4" s="1"/>
  <c r="I168" i="49"/>
  <c r="L168" i="49" s="1"/>
  <c r="AE171" i="4" s="1"/>
  <c r="I176" i="49"/>
  <c r="L176" i="49" s="1"/>
  <c r="AE179" i="4" s="1"/>
  <c r="I17" i="49"/>
  <c r="L17" i="49" s="1"/>
  <c r="AE20" i="4" s="1"/>
  <c r="I41" i="49"/>
  <c r="L41" i="49" s="1"/>
  <c r="AE44" i="4" s="1"/>
  <c r="I57" i="49"/>
  <c r="L57" i="49" s="1"/>
  <c r="AE60" i="4" s="1"/>
  <c r="I73" i="49"/>
  <c r="L73" i="49" s="1"/>
  <c r="AE76" i="4" s="1"/>
  <c r="I89" i="49"/>
  <c r="L89" i="49" s="1"/>
  <c r="AE92" i="4" s="1"/>
  <c r="I105" i="49"/>
  <c r="L105" i="49" s="1"/>
  <c r="AE108" i="4" s="1"/>
  <c r="I121" i="49"/>
  <c r="L121" i="49" s="1"/>
  <c r="AE124" i="4" s="1"/>
  <c r="I137" i="49"/>
  <c r="L137" i="49" s="1"/>
  <c r="AE140" i="4" s="1"/>
  <c r="I153" i="49"/>
  <c r="L153" i="49" s="1"/>
  <c r="AE156" i="4" s="1"/>
  <c r="I161" i="49"/>
  <c r="L161" i="49" s="1"/>
  <c r="AE164" i="4" s="1"/>
  <c r="I177" i="49"/>
  <c r="L177" i="49" s="1"/>
  <c r="AE180" i="4" s="1"/>
  <c r="I12" i="49"/>
  <c r="L12" i="49" s="1"/>
  <c r="AE15" i="4" s="1"/>
  <c r="I100" i="49"/>
  <c r="L100" i="49" s="1"/>
  <c r="AE103" i="4" s="1"/>
  <c r="I172" i="49"/>
  <c r="L172" i="49" s="1"/>
  <c r="AE175" i="4" s="1"/>
  <c r="I29" i="49"/>
  <c r="L29" i="49" s="1"/>
  <c r="AE32" i="4" s="1"/>
  <c r="I133" i="49"/>
  <c r="L133" i="49" s="1"/>
  <c r="AE136" i="4" s="1"/>
  <c r="I181" i="49"/>
  <c r="L181" i="49" s="1"/>
  <c r="AE184" i="4" s="1"/>
  <c r="I9" i="49"/>
  <c r="L9" i="49" s="1"/>
  <c r="AE12" i="4" s="1"/>
  <c r="I25" i="49"/>
  <c r="L25" i="49" s="1"/>
  <c r="AE28" i="4" s="1"/>
  <c r="I33" i="49"/>
  <c r="L33" i="49" s="1"/>
  <c r="AE36" i="4" s="1"/>
  <c r="I49" i="49"/>
  <c r="L49" i="49" s="1"/>
  <c r="AE52" i="4" s="1"/>
  <c r="I65" i="49"/>
  <c r="L65" i="49" s="1"/>
  <c r="AE68" i="4" s="1"/>
  <c r="I81" i="49"/>
  <c r="L81" i="49" s="1"/>
  <c r="AE84" i="4" s="1"/>
  <c r="I97" i="49"/>
  <c r="L97" i="49" s="1"/>
  <c r="AE100" i="4" s="1"/>
  <c r="I113" i="49"/>
  <c r="L113" i="49" s="1"/>
  <c r="AE116" i="4" s="1"/>
  <c r="I129" i="49"/>
  <c r="L129" i="49" s="1"/>
  <c r="AE132" i="4" s="1"/>
  <c r="I145" i="49"/>
  <c r="L145" i="49" s="1"/>
  <c r="AE148" i="4" s="1"/>
  <c r="I169" i="49"/>
  <c r="L169" i="49" s="1"/>
  <c r="AE172" i="4" s="1"/>
  <c r="I28" i="49"/>
  <c r="L28" i="49" s="1"/>
  <c r="AE31" i="4" s="1"/>
  <c r="I108" i="49"/>
  <c r="L108" i="49" s="1"/>
  <c r="AE111" i="4" s="1"/>
  <c r="I164" i="49"/>
  <c r="L164" i="49" s="1"/>
  <c r="AE167" i="4" s="1"/>
  <c r="I37" i="49"/>
  <c r="L37" i="49" s="1"/>
  <c r="AE40" i="4" s="1"/>
  <c r="I109" i="49"/>
  <c r="L109" i="49" s="1"/>
  <c r="AE112" i="4" s="1"/>
  <c r="I157" i="49"/>
  <c r="L157" i="49" s="1"/>
  <c r="AE160" i="4" s="1"/>
  <c r="I10" i="49"/>
  <c r="L10" i="49" s="1"/>
  <c r="AE13" i="4" s="1"/>
  <c r="I18" i="49"/>
  <c r="L18" i="49" s="1"/>
  <c r="AE21" i="4" s="1"/>
  <c r="I26" i="49"/>
  <c r="L26" i="49" s="1"/>
  <c r="AE29" i="4" s="1"/>
  <c r="I34" i="49"/>
  <c r="L34" i="49" s="1"/>
  <c r="AE37" i="4" s="1"/>
  <c r="I42" i="49"/>
  <c r="L42" i="49" s="1"/>
  <c r="AE45" i="4" s="1"/>
  <c r="I50" i="49"/>
  <c r="L50" i="49" s="1"/>
  <c r="AE53" i="4" s="1"/>
  <c r="I58" i="49"/>
  <c r="L58" i="49" s="1"/>
  <c r="AE61" i="4" s="1"/>
  <c r="I66" i="49"/>
  <c r="L66" i="49" s="1"/>
  <c r="AE69" i="4" s="1"/>
  <c r="I74" i="49"/>
  <c r="L74" i="49" s="1"/>
  <c r="AE77" i="4" s="1"/>
  <c r="I82" i="49"/>
  <c r="L82" i="49" s="1"/>
  <c r="AE85" i="4" s="1"/>
  <c r="I90" i="49"/>
  <c r="L90" i="49" s="1"/>
  <c r="AE93" i="4" s="1"/>
  <c r="I98" i="49"/>
  <c r="L98" i="49" s="1"/>
  <c r="AE101" i="4" s="1"/>
  <c r="I106" i="49"/>
  <c r="L106" i="49" s="1"/>
  <c r="AE109" i="4" s="1"/>
  <c r="I114" i="49"/>
  <c r="L114" i="49" s="1"/>
  <c r="AE117" i="4" s="1"/>
  <c r="I122" i="49"/>
  <c r="L122" i="49" s="1"/>
  <c r="AE125" i="4" s="1"/>
  <c r="I130" i="49"/>
  <c r="L130" i="49" s="1"/>
  <c r="AE133" i="4" s="1"/>
  <c r="I138" i="49"/>
  <c r="L138" i="49" s="1"/>
  <c r="AE141" i="4" s="1"/>
  <c r="I146" i="49"/>
  <c r="L146" i="49" s="1"/>
  <c r="AE149" i="4" s="1"/>
  <c r="I154" i="49"/>
  <c r="L154" i="49" s="1"/>
  <c r="AE157" i="4" s="1"/>
  <c r="I162" i="49"/>
  <c r="L162" i="49" s="1"/>
  <c r="AE165" i="4" s="1"/>
  <c r="I170" i="49"/>
  <c r="L170" i="49" s="1"/>
  <c r="AE173" i="4" s="1"/>
  <c r="I178" i="49"/>
  <c r="L178" i="49" s="1"/>
  <c r="AE181" i="4" s="1"/>
  <c r="I11" i="49"/>
  <c r="L11" i="49" s="1"/>
  <c r="AE14" i="4" s="1"/>
  <c r="I19" i="49"/>
  <c r="L19" i="49" s="1"/>
  <c r="AE22" i="4" s="1"/>
  <c r="I27" i="49"/>
  <c r="L27" i="49" s="1"/>
  <c r="AE30" i="4" s="1"/>
  <c r="I35" i="49"/>
  <c r="L35" i="49" s="1"/>
  <c r="AE38" i="4" s="1"/>
  <c r="I43" i="49"/>
  <c r="L43" i="49" s="1"/>
  <c r="AE46" i="4" s="1"/>
  <c r="I51" i="49"/>
  <c r="L51" i="49" s="1"/>
  <c r="AE54" i="4" s="1"/>
  <c r="I59" i="49"/>
  <c r="L59" i="49" s="1"/>
  <c r="AE62" i="4" s="1"/>
  <c r="I67" i="49"/>
  <c r="L67" i="49" s="1"/>
  <c r="AE70" i="4" s="1"/>
  <c r="I75" i="49"/>
  <c r="L75" i="49" s="1"/>
  <c r="AE78" i="4" s="1"/>
  <c r="I83" i="49"/>
  <c r="L83" i="49" s="1"/>
  <c r="AE86" i="4" s="1"/>
  <c r="I91" i="49"/>
  <c r="L91" i="49" s="1"/>
  <c r="AE94" i="4" s="1"/>
  <c r="I99" i="49"/>
  <c r="L99" i="49" s="1"/>
  <c r="AE102" i="4" s="1"/>
  <c r="I107" i="49"/>
  <c r="L107" i="49" s="1"/>
  <c r="AE110" i="4" s="1"/>
  <c r="I115" i="49"/>
  <c r="L115" i="49" s="1"/>
  <c r="AE118" i="4" s="1"/>
  <c r="I123" i="49"/>
  <c r="L123" i="49" s="1"/>
  <c r="AE126" i="4" s="1"/>
  <c r="I131" i="49"/>
  <c r="L131" i="49" s="1"/>
  <c r="AE134" i="4" s="1"/>
  <c r="I139" i="49"/>
  <c r="L139" i="49" s="1"/>
  <c r="AE142" i="4" s="1"/>
  <c r="I147" i="49"/>
  <c r="L147" i="49" s="1"/>
  <c r="AE150" i="4" s="1"/>
  <c r="I155" i="49"/>
  <c r="L155" i="49" s="1"/>
  <c r="AE158" i="4" s="1"/>
  <c r="I163" i="49"/>
  <c r="L163" i="49" s="1"/>
  <c r="AE166" i="4" s="1"/>
  <c r="I171" i="49"/>
  <c r="L171" i="49" s="1"/>
  <c r="AE174" i="4" s="1"/>
  <c r="I179" i="49"/>
  <c r="L179" i="49" s="1"/>
  <c r="AE182" i="4" s="1"/>
  <c r="I20" i="49"/>
  <c r="L20" i="49" s="1"/>
  <c r="AE23" i="4" s="1"/>
  <c r="I44" i="49"/>
  <c r="L44" i="49" s="1"/>
  <c r="AE47" i="4" s="1"/>
  <c r="I60" i="49"/>
  <c r="L60" i="49" s="1"/>
  <c r="AE63" i="4" s="1"/>
  <c r="I68" i="49"/>
  <c r="L68" i="49" s="1"/>
  <c r="AE71" i="4" s="1"/>
  <c r="I84" i="49"/>
  <c r="L84" i="49" s="1"/>
  <c r="AE87" i="4" s="1"/>
  <c r="I116" i="49"/>
  <c r="L116" i="49" s="1"/>
  <c r="AE119" i="4" s="1"/>
  <c r="I132" i="49"/>
  <c r="L132" i="49" s="1"/>
  <c r="AE135" i="4" s="1"/>
  <c r="I148" i="49"/>
  <c r="L148" i="49" s="1"/>
  <c r="AE151" i="4" s="1"/>
  <c r="I180" i="49"/>
  <c r="L180" i="49" s="1"/>
  <c r="AE183" i="4" s="1"/>
  <c r="I21" i="49"/>
  <c r="L21" i="49" s="1"/>
  <c r="AE24" i="4" s="1"/>
  <c r="I45" i="49"/>
  <c r="L45" i="49" s="1"/>
  <c r="AE48" i="4" s="1"/>
  <c r="I69" i="49"/>
  <c r="L69" i="49" s="1"/>
  <c r="AE72" i="4" s="1"/>
  <c r="I85" i="49"/>
  <c r="L85" i="49" s="1"/>
  <c r="AE88" i="4" s="1"/>
  <c r="I101" i="49"/>
  <c r="L101" i="49" s="1"/>
  <c r="AE104" i="4" s="1"/>
  <c r="I125" i="49"/>
  <c r="L125" i="49" s="1"/>
  <c r="AE128" i="4" s="1"/>
  <c r="I149" i="49"/>
  <c r="L149" i="49" s="1"/>
  <c r="AE152" i="4" s="1"/>
  <c r="I173" i="49"/>
  <c r="L173" i="49" s="1"/>
  <c r="AE176" i="4" s="1"/>
  <c r="I134" i="49"/>
  <c r="L134" i="49" s="1"/>
  <c r="AE137" i="4" s="1"/>
  <c r="I6" i="49"/>
  <c r="L6" i="49" s="1"/>
  <c r="AE9" i="4" s="1"/>
  <c r="I70" i="49"/>
  <c r="L70" i="49" s="1"/>
  <c r="AE73" i="4" s="1"/>
  <c r="I5" i="49"/>
  <c r="L5" i="49" s="1"/>
  <c r="AE8" i="4" s="1"/>
  <c r="I87" i="49"/>
  <c r="L87" i="49" s="1"/>
  <c r="AE90" i="4" s="1"/>
  <c r="I143" i="49"/>
  <c r="L143" i="49" s="1"/>
  <c r="AE146" i="4" s="1"/>
  <c r="I62" i="49"/>
  <c r="L62" i="49" s="1"/>
  <c r="AE65" i="4" s="1"/>
  <c r="I151" i="49"/>
  <c r="L151" i="49" s="1"/>
  <c r="AE154" i="4" s="1"/>
  <c r="H183" i="49"/>
  <c r="I126" i="49"/>
  <c r="L126" i="49" s="1"/>
  <c r="AE129" i="4" s="1"/>
  <c r="L126" i="48"/>
  <c r="AB129" i="4" s="1"/>
  <c r="L19" i="48"/>
  <c r="AB22" i="4" s="1"/>
  <c r="L88" i="48"/>
  <c r="AB91" i="4" s="1"/>
  <c r="L144" i="48"/>
  <c r="AB147" i="4" s="1"/>
  <c r="L67" i="48"/>
  <c r="AB70" i="4" s="1"/>
  <c r="L145" i="48"/>
  <c r="AB148" i="4" s="1"/>
  <c r="L17" i="48"/>
  <c r="AB20" i="4" s="1"/>
  <c r="L22" i="48"/>
  <c r="AB25" i="4" s="1"/>
  <c r="L107" i="48"/>
  <c r="AB110" i="4" s="1"/>
  <c r="L64" i="48"/>
  <c r="AB67" i="4" s="1"/>
  <c r="L70" i="48"/>
  <c r="AB73" i="4" s="1"/>
  <c r="L30" i="48"/>
  <c r="AB33" i="4" s="1"/>
  <c r="L66" i="48"/>
  <c r="AB69" i="4" s="1"/>
  <c r="L26" i="48"/>
  <c r="AB29" i="4" s="1"/>
  <c r="L164" i="48"/>
  <c r="AB167" i="4" s="1"/>
  <c r="L127" i="48"/>
  <c r="AB130" i="4" s="1"/>
  <c r="L109" i="48"/>
  <c r="AB112" i="4" s="1"/>
  <c r="L172" i="48"/>
  <c r="AB175" i="4" s="1"/>
  <c r="L113" i="48"/>
  <c r="AB116" i="4" s="1"/>
  <c r="L32" i="48"/>
  <c r="AB35" i="4" s="1"/>
  <c r="L14" i="48"/>
  <c r="AB17" i="4" s="1"/>
  <c r="L23" i="48"/>
  <c r="AB26" i="4" s="1"/>
  <c r="L61" i="48"/>
  <c r="AB64" i="4" s="1"/>
  <c r="L86" i="48"/>
  <c r="AB89" i="4" s="1"/>
  <c r="L93" i="48"/>
  <c r="AB96" i="4" s="1"/>
  <c r="L179" i="48"/>
  <c r="AB182" i="4" s="1"/>
  <c r="L54" i="48"/>
  <c r="AB57" i="4" s="1"/>
  <c r="L29" i="48"/>
  <c r="AB32" i="4" s="1"/>
  <c r="L104" i="48"/>
  <c r="AB107" i="4" s="1"/>
  <c r="L27" i="48"/>
  <c r="AB30" i="4" s="1"/>
  <c r="L124" i="48"/>
  <c r="AB127" i="4" s="1"/>
  <c r="L68" i="48"/>
  <c r="AB71" i="4" s="1"/>
  <c r="L162" i="48"/>
  <c r="AB165" i="4" s="1"/>
  <c r="L15" i="48"/>
  <c r="AB18" i="4" s="1"/>
  <c r="L35" i="48"/>
  <c r="AB38" i="4" s="1"/>
  <c r="L108" i="48"/>
  <c r="AB111" i="4" s="1"/>
  <c r="L117" i="48"/>
  <c r="AB120" i="4" s="1"/>
  <c r="L25" i="48"/>
  <c r="AB28" i="4" s="1"/>
  <c r="L136" i="48"/>
  <c r="AB139" i="4" s="1"/>
  <c r="L181" i="48"/>
  <c r="AB184" i="4" s="1"/>
  <c r="L99" i="48"/>
  <c r="AB102" i="4" s="1"/>
  <c r="L103" i="48"/>
  <c r="AB106" i="4" s="1"/>
  <c r="L91" i="48"/>
  <c r="AB94" i="4" s="1"/>
  <c r="L167" i="48"/>
  <c r="AB170" i="4" s="1"/>
  <c r="L53" i="48"/>
  <c r="AB56" i="4" s="1"/>
  <c r="L155" i="48"/>
  <c r="AB158" i="4" s="1"/>
  <c r="L168" i="48"/>
  <c r="AB171" i="4" s="1"/>
  <c r="L52" i="48"/>
  <c r="AB55" i="4" s="1"/>
  <c r="L9" i="48"/>
  <c r="AB12" i="4" s="1"/>
  <c r="L63" i="48"/>
  <c r="AB66" i="4" s="1"/>
  <c r="L139" i="48"/>
  <c r="AB142" i="4" s="1"/>
  <c r="L128" i="48"/>
  <c r="AB131" i="4" s="1"/>
  <c r="L58" i="48"/>
  <c r="AB61" i="4" s="1"/>
  <c r="L49" i="48"/>
  <c r="AB52" i="4" s="1"/>
  <c r="L135" i="48"/>
  <c r="AB138" i="4" s="1"/>
  <c r="L83" i="48"/>
  <c r="AB86" i="4" s="1"/>
  <c r="L118" i="48"/>
  <c r="AB121" i="4" s="1"/>
  <c r="L150" i="48"/>
  <c r="AB153" i="4" s="1"/>
  <c r="L182" i="48"/>
  <c r="AB185" i="4" s="1"/>
  <c r="L180" i="48"/>
  <c r="AB183" i="4" s="1"/>
  <c r="L37" i="48"/>
  <c r="AB40" i="4" s="1"/>
  <c r="L69" i="48"/>
  <c r="AB72" i="4" s="1"/>
  <c r="L72" i="48"/>
  <c r="AB75" i="4" s="1"/>
  <c r="L106" i="48"/>
  <c r="AB109" i="4" s="1"/>
  <c r="L138" i="48"/>
  <c r="AB141" i="4" s="1"/>
  <c r="L170" i="48"/>
  <c r="AB173" i="4" s="1"/>
  <c r="L46" i="48"/>
  <c r="AB49" i="4" s="1"/>
  <c r="L125" i="48"/>
  <c r="AB128" i="4" s="1"/>
  <c r="L157" i="48"/>
  <c r="AB160" i="4" s="1"/>
  <c r="L116" i="48"/>
  <c r="AB119" i="4" s="1"/>
  <c r="L84" i="48"/>
  <c r="AB87" i="4" s="1"/>
  <c r="L21" i="48"/>
  <c r="AB24" i="4" s="1"/>
  <c r="L151" i="48"/>
  <c r="AB154" i="4" s="1"/>
  <c r="L148" i="48"/>
  <c r="AB151" i="4" s="1"/>
  <c r="L47" i="48"/>
  <c r="AB50" i="4" s="1"/>
  <c r="L33" i="48"/>
  <c r="AB36" i="4" s="1"/>
  <c r="L5" i="48"/>
  <c r="AB8" i="4" s="1"/>
  <c r="L176" i="48"/>
  <c r="AB179" i="4" s="1"/>
  <c r="L65" i="48"/>
  <c r="AB68" i="4" s="1"/>
  <c r="L89" i="48"/>
  <c r="AB92" i="4" s="1"/>
  <c r="G200" i="48"/>
  <c r="L50" i="48"/>
  <c r="AB53" i="4" s="1"/>
  <c r="L55" i="48"/>
  <c r="AB58" i="4" s="1"/>
  <c r="L147" i="48"/>
  <c r="AB150" i="4" s="1"/>
  <c r="L38" i="48"/>
  <c r="AB41" i="4" s="1"/>
  <c r="L74" i="48"/>
  <c r="AB77" i="4" s="1"/>
  <c r="L78" i="48"/>
  <c r="AB81" i="4" s="1"/>
  <c r="L31" i="48"/>
  <c r="AB34" i="4" s="1"/>
  <c r="L134" i="48"/>
  <c r="AB137" i="4" s="1"/>
  <c r="L166" i="48"/>
  <c r="AB169" i="4" s="1"/>
  <c r="L13" i="48"/>
  <c r="AB16" i="4" s="1"/>
  <c r="L44" i="48"/>
  <c r="AB47" i="4" s="1"/>
  <c r="L97" i="48"/>
  <c r="AB100" i="4" s="1"/>
  <c r="L34" i="48"/>
  <c r="AB37" i="4" s="1"/>
  <c r="L156" i="48"/>
  <c r="AB159" i="4" s="1"/>
  <c r="L41" i="48"/>
  <c r="AB44" i="4" s="1"/>
  <c r="L73" i="48"/>
  <c r="AB76" i="4" s="1"/>
  <c r="L119" i="48"/>
  <c r="AB122" i="4" s="1"/>
  <c r="L121" i="48"/>
  <c r="AB124" i="4" s="1"/>
  <c r="L153" i="48"/>
  <c r="AB156" i="4" s="1"/>
  <c r="L102" i="48"/>
  <c r="AB105" i="4" s="1"/>
  <c r="L36" i="48"/>
  <c r="AB39" i="4" s="1"/>
  <c r="L18" i="48"/>
  <c r="AB21" i="4" s="1"/>
  <c r="L131" i="48"/>
  <c r="AB134" i="4" s="1"/>
  <c r="L39" i="48"/>
  <c r="AB42" i="4" s="1"/>
  <c r="L45" i="48"/>
  <c r="AB48" i="4" s="1"/>
  <c r="L79" i="48"/>
  <c r="AB82" i="4" s="1"/>
  <c r="L110" i="48"/>
  <c r="AB113" i="4" s="1"/>
  <c r="L142" i="48"/>
  <c r="AB145" i="4" s="1"/>
  <c r="L174" i="48"/>
  <c r="AB177" i="4" s="1"/>
  <c r="L82" i="48"/>
  <c r="AB85" i="4" s="1"/>
  <c r="L152" i="48"/>
  <c r="AB155" i="4" s="1"/>
  <c r="L143" i="48"/>
  <c r="AB146" i="4" s="1"/>
  <c r="L75" i="48"/>
  <c r="AB78" i="4" s="1"/>
  <c r="L112" i="48"/>
  <c r="AB115" i="4" s="1"/>
  <c r="L80" i="48"/>
  <c r="AB83" i="4" s="1"/>
  <c r="L114" i="48"/>
  <c r="AB117" i="4" s="1"/>
  <c r="L146" i="48"/>
  <c r="AB149" i="4" s="1"/>
  <c r="L178" i="48"/>
  <c r="AB181" i="4" s="1"/>
  <c r="L129" i="48"/>
  <c r="AB132" i="4" s="1"/>
  <c r="L161" i="48"/>
  <c r="AB164" i="4" s="1"/>
  <c r="L40" i="48"/>
  <c r="AB43" i="4" s="1"/>
  <c r="L16" i="48"/>
  <c r="AB19" i="4" s="1"/>
  <c r="L87" i="48"/>
  <c r="AB90" i="4" s="1"/>
  <c r="L24" i="48"/>
  <c r="AB27" i="4" s="1"/>
  <c r="L115" i="48"/>
  <c r="AB118" i="4" s="1"/>
  <c r="L133" i="48"/>
  <c r="AB136" i="4" s="1"/>
  <c r="L165" i="48"/>
  <c r="AB168" i="4" s="1"/>
  <c r="I50" i="4"/>
  <c r="I169" i="4"/>
  <c r="I31" i="4"/>
  <c r="I178" i="4"/>
  <c r="I40" i="44"/>
  <c r="L40" i="44" s="1"/>
  <c r="S43" i="4" s="1"/>
  <c r="I70" i="44"/>
  <c r="L70" i="44" s="1"/>
  <c r="S73" i="4" s="1"/>
  <c r="I143" i="44"/>
  <c r="L143" i="44" s="1"/>
  <c r="S146" i="4" s="1"/>
  <c r="I50" i="44"/>
  <c r="L50" i="44" s="1"/>
  <c r="S53" i="4" s="1"/>
  <c r="I100" i="44"/>
  <c r="L100" i="44" s="1"/>
  <c r="S103" i="4" s="1"/>
  <c r="I51" i="44"/>
  <c r="L51" i="44" s="1"/>
  <c r="S54" i="4" s="1"/>
  <c r="I118" i="44"/>
  <c r="L118" i="44" s="1"/>
  <c r="S121" i="4" s="1"/>
  <c r="I131" i="44"/>
  <c r="L131" i="44" s="1"/>
  <c r="S134" i="4" s="1"/>
  <c r="I47" i="44"/>
  <c r="L47" i="44" s="1"/>
  <c r="S50" i="4" s="1"/>
  <c r="I35" i="44"/>
  <c r="L35" i="44" s="1"/>
  <c r="S38" i="4" s="1"/>
  <c r="I150" i="44"/>
  <c r="L150" i="44" s="1"/>
  <c r="S153" i="4" s="1"/>
  <c r="I182" i="44"/>
  <c r="L182" i="44" s="1"/>
  <c r="S185" i="4" s="1"/>
  <c r="I41" i="44"/>
  <c r="L41" i="44" s="1"/>
  <c r="S44" i="4" s="1"/>
  <c r="I73" i="44"/>
  <c r="L73" i="44" s="1"/>
  <c r="S76" i="4" s="1"/>
  <c r="I111" i="44"/>
  <c r="L111" i="44" s="1"/>
  <c r="S114" i="4" s="1"/>
  <c r="I175" i="44"/>
  <c r="L175" i="44" s="1"/>
  <c r="S178" i="4" s="1"/>
  <c r="I20" i="44"/>
  <c r="L20" i="44" s="1"/>
  <c r="S23" i="4" s="1"/>
  <c r="I155" i="44"/>
  <c r="L155" i="44" s="1"/>
  <c r="S158" i="4" s="1"/>
  <c r="I33" i="44"/>
  <c r="L33" i="44" s="1"/>
  <c r="S36" i="4" s="1"/>
  <c r="I49" i="44"/>
  <c r="L49" i="44" s="1"/>
  <c r="S52" i="4" s="1"/>
  <c r="I105" i="44"/>
  <c r="L105" i="44" s="1"/>
  <c r="S108" i="4" s="1"/>
  <c r="I137" i="44"/>
  <c r="L137" i="44" s="1"/>
  <c r="S140" i="4" s="1"/>
  <c r="I169" i="44"/>
  <c r="L169" i="44" s="1"/>
  <c r="S172" i="4" s="1"/>
  <c r="I94" i="44"/>
  <c r="L94" i="44" s="1"/>
  <c r="S97" i="4" s="1"/>
  <c r="I61" i="44"/>
  <c r="L61" i="44" s="1"/>
  <c r="S64" i="4" s="1"/>
  <c r="I56" i="44"/>
  <c r="L56" i="44" s="1"/>
  <c r="S59" i="4" s="1"/>
  <c r="I181" i="44"/>
  <c r="L181" i="44" s="1"/>
  <c r="S184" i="4" s="1"/>
  <c r="I62" i="44"/>
  <c r="L62" i="44" s="1"/>
  <c r="S65" i="4" s="1"/>
  <c r="I96" i="44"/>
  <c r="L96" i="44" s="1"/>
  <c r="S99" i="4" s="1"/>
  <c r="I95" i="44"/>
  <c r="L95" i="44" s="1"/>
  <c r="S98" i="4" s="1"/>
  <c r="I28" i="44"/>
  <c r="L28" i="44" s="1"/>
  <c r="S31" i="4" s="1"/>
  <c r="I13" i="44"/>
  <c r="L13" i="44" s="1"/>
  <c r="S16" i="4" s="1"/>
  <c r="I37" i="44"/>
  <c r="L37" i="44" s="1"/>
  <c r="S40" i="4" s="1"/>
  <c r="I114" i="44"/>
  <c r="L114" i="44" s="1"/>
  <c r="S117" i="4" s="1"/>
  <c r="I178" i="44"/>
  <c r="L178" i="44" s="1"/>
  <c r="S181" i="4" s="1"/>
  <c r="I123" i="44"/>
  <c r="L123" i="44" s="1"/>
  <c r="S126" i="4" s="1"/>
  <c r="I29" i="44"/>
  <c r="L29" i="44" s="1"/>
  <c r="S32" i="4" s="1"/>
  <c r="I36" i="44"/>
  <c r="L36" i="44" s="1"/>
  <c r="S39" i="4" s="1"/>
  <c r="I68" i="44"/>
  <c r="L68" i="44" s="1"/>
  <c r="S71" i="4" s="1"/>
  <c r="I135" i="44"/>
  <c r="L135" i="44" s="1"/>
  <c r="S138" i="4" s="1"/>
  <c r="I53" i="44"/>
  <c r="L53" i="44" s="1"/>
  <c r="S56" i="4" s="1"/>
  <c r="I115" i="44"/>
  <c r="L115" i="44" s="1"/>
  <c r="S118" i="4" s="1"/>
  <c r="I179" i="44"/>
  <c r="L179" i="44" s="1"/>
  <c r="S182" i="4" s="1"/>
  <c r="I110" i="44"/>
  <c r="L110" i="44" s="1"/>
  <c r="S113" i="4" s="1"/>
  <c r="I46" i="44"/>
  <c r="L46" i="44" s="1"/>
  <c r="S49" i="4" s="1"/>
  <c r="I78" i="44"/>
  <c r="L78" i="44" s="1"/>
  <c r="S81" i="4" s="1"/>
  <c r="I174" i="44"/>
  <c r="L174" i="44" s="1"/>
  <c r="S177" i="4" s="1"/>
  <c r="I92" i="44"/>
  <c r="L92" i="44" s="1"/>
  <c r="S95" i="4" s="1"/>
  <c r="I127" i="44"/>
  <c r="L127" i="44" s="1"/>
  <c r="S130" i="4" s="1"/>
  <c r="I19" i="44"/>
  <c r="L19" i="44" s="1"/>
  <c r="S22" i="4" s="1"/>
  <c r="I101" i="44"/>
  <c r="L101" i="44" s="1"/>
  <c r="S104" i="4" s="1"/>
  <c r="I142" i="44"/>
  <c r="L142" i="44" s="1"/>
  <c r="S145" i="4" s="1"/>
  <c r="I79" i="44"/>
  <c r="L79" i="44" s="1"/>
  <c r="S82" i="4" s="1"/>
  <c r="I26" i="44"/>
  <c r="L26" i="44" s="1"/>
  <c r="S29" i="4" s="1"/>
  <c r="I30" i="44"/>
  <c r="L30" i="44" s="1"/>
  <c r="S33" i="4" s="1"/>
  <c r="I21" i="44"/>
  <c r="L21" i="44" s="1"/>
  <c r="S24" i="4" s="1"/>
  <c r="I38" i="44"/>
  <c r="L38" i="44" s="1"/>
  <c r="S41" i="4" s="1"/>
  <c r="I12" i="44"/>
  <c r="L12" i="44" s="1"/>
  <c r="S15" i="4" s="1"/>
  <c r="I44" i="44"/>
  <c r="L44" i="44" s="1"/>
  <c r="S47" i="4" s="1"/>
  <c r="I76" i="44"/>
  <c r="L76" i="44" s="1"/>
  <c r="S79" i="4" s="1"/>
  <c r="I138" i="44"/>
  <c r="L138" i="44" s="1"/>
  <c r="S141" i="4" s="1"/>
  <c r="I87" i="44"/>
  <c r="L87" i="44" s="1"/>
  <c r="S90" i="4" s="1"/>
  <c r="I25" i="44"/>
  <c r="L25" i="44" s="1"/>
  <c r="S28" i="4" s="1"/>
  <c r="I57" i="44"/>
  <c r="L57" i="44" s="1"/>
  <c r="S60" i="4" s="1"/>
  <c r="I89" i="44"/>
  <c r="L89" i="44" s="1"/>
  <c r="S92" i="4" s="1"/>
  <c r="I52" i="44"/>
  <c r="L52" i="44" s="1"/>
  <c r="S55" i="4" s="1"/>
  <c r="I154" i="44"/>
  <c r="L154" i="44" s="1"/>
  <c r="S157" i="4" s="1"/>
  <c r="I113" i="44"/>
  <c r="L113" i="44" s="1"/>
  <c r="S116" i="4" s="1"/>
  <c r="I145" i="44"/>
  <c r="L145" i="44" s="1"/>
  <c r="S148" i="4" s="1"/>
  <c r="I177" i="44"/>
  <c r="L177" i="44" s="1"/>
  <c r="S180" i="4" s="1"/>
  <c r="I119" i="44"/>
  <c r="L119" i="44" s="1"/>
  <c r="S122" i="4" s="1"/>
  <c r="I151" i="44"/>
  <c r="L151" i="44" s="1"/>
  <c r="S154" i="4" s="1"/>
  <c r="I24" i="44"/>
  <c r="L24" i="44" s="1"/>
  <c r="S27" i="4" s="1"/>
  <c r="I97" i="44"/>
  <c r="L97" i="44" s="1"/>
  <c r="S100" i="4" s="1"/>
  <c r="G200" i="44"/>
  <c r="I3" i="44"/>
  <c r="I55" i="44"/>
  <c r="L55" i="44" s="1"/>
  <c r="S58" i="4" s="1"/>
  <c r="I22" i="44"/>
  <c r="L22" i="44" s="1"/>
  <c r="S25" i="4" s="1"/>
  <c r="I65" i="44"/>
  <c r="L65" i="44" s="1"/>
  <c r="S68" i="4" s="1"/>
  <c r="I106" i="44"/>
  <c r="L106" i="44" s="1"/>
  <c r="S109" i="4" s="1"/>
  <c r="I60" i="44"/>
  <c r="L60" i="44" s="1"/>
  <c r="S63" i="4" s="1"/>
  <c r="I170" i="44"/>
  <c r="L170" i="44" s="1"/>
  <c r="S173" i="4" s="1"/>
  <c r="I121" i="44"/>
  <c r="L121" i="44" s="1"/>
  <c r="S124" i="4" s="1"/>
  <c r="I153" i="44"/>
  <c r="L153" i="44" s="1"/>
  <c r="S156" i="4" s="1"/>
  <c r="I69" i="44"/>
  <c r="L69" i="44" s="1"/>
  <c r="S72" i="4" s="1"/>
  <c r="I88" i="44"/>
  <c r="L88" i="44" s="1"/>
  <c r="S91" i="4" s="1"/>
  <c r="I103" i="44"/>
  <c r="L103" i="44" s="1"/>
  <c r="S106" i="4" s="1"/>
  <c r="I122" i="44"/>
  <c r="L122" i="44" s="1"/>
  <c r="S125" i="4" s="1"/>
  <c r="I129" i="44"/>
  <c r="L129" i="44" s="1"/>
  <c r="S132" i="4" s="1"/>
  <c r="I161" i="44"/>
  <c r="L161" i="44" s="1"/>
  <c r="S164" i="4" s="1"/>
  <c r="I167" i="44"/>
  <c r="L167" i="44" s="1"/>
  <c r="S170" i="4" s="1"/>
  <c r="H183" i="44"/>
  <c r="I183" i="44" s="1"/>
  <c r="G199" i="43"/>
  <c r="G198" i="43"/>
  <c r="L3" i="43"/>
  <c r="P6" i="4" s="1"/>
  <c r="I153" i="4"/>
  <c r="I185" i="4"/>
  <c r="I143" i="4"/>
  <c r="I125" i="4"/>
  <c r="I166" i="4"/>
  <c r="I102" i="4"/>
  <c r="I93" i="4"/>
  <c r="I170" i="4"/>
  <c r="I157" i="4"/>
  <c r="I121" i="4"/>
  <c r="I147" i="4"/>
  <c r="I134" i="4"/>
  <c r="I164" i="4"/>
  <c r="I6" i="42"/>
  <c r="L6" i="42" s="1"/>
  <c r="M9" i="4" s="1"/>
  <c r="I95" i="42"/>
  <c r="L95" i="42" s="1"/>
  <c r="M98" i="4" s="1"/>
  <c r="I137" i="42"/>
  <c r="L137" i="42" s="1"/>
  <c r="M140" i="4" s="1"/>
  <c r="I135" i="42"/>
  <c r="L135" i="42" s="1"/>
  <c r="M138" i="4" s="1"/>
  <c r="I28" i="42"/>
  <c r="L28" i="42" s="1"/>
  <c r="M31" i="4" s="1"/>
  <c r="I59" i="42"/>
  <c r="L59" i="42" s="1"/>
  <c r="M62" i="4" s="1"/>
  <c r="I43" i="42"/>
  <c r="L43" i="42" s="1"/>
  <c r="M46" i="4" s="1"/>
  <c r="I7" i="42"/>
  <c r="L7" i="42" s="1"/>
  <c r="M10" i="4" s="1"/>
  <c r="I98" i="42"/>
  <c r="L98" i="42" s="1"/>
  <c r="M101" i="4" s="1"/>
  <c r="I38" i="42"/>
  <c r="L38" i="42" s="1"/>
  <c r="M41" i="4" s="1"/>
  <c r="I77" i="42"/>
  <c r="L77" i="42" s="1"/>
  <c r="M80" i="4" s="1"/>
  <c r="I142" i="42"/>
  <c r="L142" i="42" s="1"/>
  <c r="M145" i="4" s="1"/>
  <c r="I178" i="42"/>
  <c r="L178" i="42" s="1"/>
  <c r="M181" i="4" s="1"/>
  <c r="I160" i="42"/>
  <c r="L160" i="42" s="1"/>
  <c r="M163" i="4" s="1"/>
  <c r="I175" i="42"/>
  <c r="L175" i="42" s="1"/>
  <c r="M178" i="4" s="1"/>
  <c r="I52" i="42"/>
  <c r="L52" i="42" s="1"/>
  <c r="M55" i="4" s="1"/>
  <c r="I56" i="42"/>
  <c r="L56" i="42" s="1"/>
  <c r="M59" i="4" s="1"/>
  <c r="I109" i="42"/>
  <c r="L109" i="42" s="1"/>
  <c r="M112" i="4" s="1"/>
  <c r="I17" i="42"/>
  <c r="L17" i="42" s="1"/>
  <c r="M20" i="4" s="1"/>
  <c r="I63" i="42"/>
  <c r="L63" i="42" s="1"/>
  <c r="M66" i="4" s="1"/>
  <c r="I45" i="42"/>
  <c r="L45" i="42" s="1"/>
  <c r="M48" i="4" s="1"/>
  <c r="I4" i="42"/>
  <c r="L4" i="42" s="1"/>
  <c r="M7" i="4" s="1"/>
  <c r="I130" i="42"/>
  <c r="L130" i="42" s="1"/>
  <c r="M133" i="4" s="1"/>
  <c r="I110" i="42"/>
  <c r="L110" i="42" s="1"/>
  <c r="M113" i="4" s="1"/>
  <c r="I72" i="42"/>
  <c r="L72" i="42" s="1"/>
  <c r="M75" i="4" s="1"/>
  <c r="I153" i="42"/>
  <c r="L153" i="42" s="1"/>
  <c r="M156" i="4" s="1"/>
  <c r="I126" i="42"/>
  <c r="L126" i="42" s="1"/>
  <c r="M129" i="4" s="1"/>
  <c r="I20" i="42"/>
  <c r="L20" i="42" s="1"/>
  <c r="M23" i="4" s="1"/>
  <c r="I182" i="42"/>
  <c r="L182" i="42" s="1"/>
  <c r="M185" i="4" s="1"/>
  <c r="I47" i="42"/>
  <c r="L47" i="42" s="1"/>
  <c r="M50" i="4" s="1"/>
  <c r="I60" i="42"/>
  <c r="L60" i="42" s="1"/>
  <c r="M63" i="4" s="1"/>
  <c r="I133" i="42"/>
  <c r="L133" i="42" s="1"/>
  <c r="M136" i="4" s="1"/>
  <c r="I75" i="42"/>
  <c r="L75" i="42" s="1"/>
  <c r="M78" i="4" s="1"/>
  <c r="I51" i="42"/>
  <c r="L51" i="42" s="1"/>
  <c r="M54" i="4" s="1"/>
  <c r="I94" i="42"/>
  <c r="L94" i="42" s="1"/>
  <c r="M97" i="4" s="1"/>
  <c r="I37" i="42"/>
  <c r="L37" i="42" s="1"/>
  <c r="M40" i="4" s="1"/>
  <c r="I146" i="42"/>
  <c r="L146" i="42" s="1"/>
  <c r="M149" i="4" s="1"/>
  <c r="I167" i="42"/>
  <c r="L167" i="42" s="1"/>
  <c r="M170" i="4" s="1"/>
  <c r="I120" i="42"/>
  <c r="L120" i="42" s="1"/>
  <c r="M123" i="4" s="1"/>
  <c r="I152" i="42"/>
  <c r="L152" i="42" s="1"/>
  <c r="M155" i="4" s="1"/>
  <c r="I158" i="42"/>
  <c r="L158" i="42" s="1"/>
  <c r="M161" i="4" s="1"/>
  <c r="I161" i="42"/>
  <c r="L161" i="42" s="1"/>
  <c r="M164" i="4" s="1"/>
  <c r="I25" i="42"/>
  <c r="L25" i="42" s="1"/>
  <c r="M28" i="4" s="1"/>
  <c r="I96" i="42"/>
  <c r="L96" i="42" s="1"/>
  <c r="M99" i="4" s="1"/>
  <c r="I39" i="42"/>
  <c r="L39" i="42" s="1"/>
  <c r="M42" i="4" s="1"/>
  <c r="I32" i="42"/>
  <c r="L32" i="42" s="1"/>
  <c r="M35" i="4" s="1"/>
  <c r="I35" i="42"/>
  <c r="L35" i="42" s="1"/>
  <c r="M38" i="4" s="1"/>
  <c r="I64" i="42"/>
  <c r="L64" i="42" s="1"/>
  <c r="M67" i="4" s="1"/>
  <c r="I88" i="42"/>
  <c r="L88" i="42" s="1"/>
  <c r="M91" i="4" s="1"/>
  <c r="I165" i="42"/>
  <c r="L165" i="42" s="1"/>
  <c r="M168" i="4" s="1"/>
  <c r="I34" i="42"/>
  <c r="L34" i="42" s="1"/>
  <c r="M37" i="4" s="1"/>
  <c r="I66" i="42"/>
  <c r="L66" i="42" s="1"/>
  <c r="M69" i="4" s="1"/>
  <c r="I105" i="42"/>
  <c r="L105" i="42" s="1"/>
  <c r="M108" i="4" s="1"/>
  <c r="I107" i="42"/>
  <c r="L107" i="42" s="1"/>
  <c r="M110" i="4" s="1"/>
  <c r="I41" i="42"/>
  <c r="L41" i="42" s="1"/>
  <c r="M44" i="4" s="1"/>
  <c r="I73" i="42"/>
  <c r="L73" i="42" s="1"/>
  <c r="M76" i="4" s="1"/>
  <c r="I121" i="42"/>
  <c r="L121" i="42" s="1"/>
  <c r="M124" i="4" s="1"/>
  <c r="I157" i="42"/>
  <c r="L157" i="42" s="1"/>
  <c r="M160" i="4" s="1"/>
  <c r="I139" i="42"/>
  <c r="L139" i="42" s="1"/>
  <c r="M142" i="4" s="1"/>
  <c r="I171" i="42"/>
  <c r="L171" i="42" s="1"/>
  <c r="M174" i="4" s="1"/>
  <c r="I124" i="42"/>
  <c r="L124" i="42" s="1"/>
  <c r="M127" i="4" s="1"/>
  <c r="I156" i="42"/>
  <c r="L156" i="42" s="1"/>
  <c r="M159" i="4" s="1"/>
  <c r="I70" i="42"/>
  <c r="L70" i="42" s="1"/>
  <c r="M73" i="4" s="1"/>
  <c r="I10" i="42"/>
  <c r="L10" i="42" s="1"/>
  <c r="M13" i="4" s="1"/>
  <c r="I44" i="42"/>
  <c r="L44" i="42" s="1"/>
  <c r="M47" i="4" s="1"/>
  <c r="I48" i="42"/>
  <c r="L48" i="42" s="1"/>
  <c r="M51" i="4" s="1"/>
  <c r="I55" i="42"/>
  <c r="L55" i="42" s="1"/>
  <c r="M58" i="4" s="1"/>
  <c r="I11" i="42"/>
  <c r="L11" i="42" s="1"/>
  <c r="M14" i="4" s="1"/>
  <c r="I129" i="42"/>
  <c r="L129" i="42" s="1"/>
  <c r="M132" i="4" s="1"/>
  <c r="I42" i="42"/>
  <c r="L42" i="42" s="1"/>
  <c r="M45" i="4" s="1"/>
  <c r="I74" i="42"/>
  <c r="L74" i="42" s="1"/>
  <c r="M77" i="4" s="1"/>
  <c r="I113" i="42"/>
  <c r="L113" i="42" s="1"/>
  <c r="M116" i="4" s="1"/>
  <c r="I138" i="42"/>
  <c r="L138" i="42" s="1"/>
  <c r="M141" i="4" s="1"/>
  <c r="I49" i="42"/>
  <c r="L49" i="42" s="1"/>
  <c r="M52" i="4" s="1"/>
  <c r="I81" i="42"/>
  <c r="L81" i="42" s="1"/>
  <c r="M84" i="4" s="1"/>
  <c r="I115" i="42"/>
  <c r="L115" i="42" s="1"/>
  <c r="M118" i="4" s="1"/>
  <c r="I147" i="42"/>
  <c r="L147" i="42" s="1"/>
  <c r="M150" i="4" s="1"/>
  <c r="I179" i="42"/>
  <c r="L179" i="42" s="1"/>
  <c r="M182" i="4" s="1"/>
  <c r="I132" i="42"/>
  <c r="L132" i="42" s="1"/>
  <c r="M135" i="4" s="1"/>
  <c r="I164" i="42"/>
  <c r="L164" i="42" s="1"/>
  <c r="M167" i="4" s="1"/>
  <c r="I128" i="42"/>
  <c r="L128" i="42" s="1"/>
  <c r="M131" i="4" s="1"/>
  <c r="I14" i="42"/>
  <c r="L14" i="42" s="1"/>
  <c r="M17" i="4" s="1"/>
  <c r="I71" i="42"/>
  <c r="L71" i="42" s="1"/>
  <c r="M74" i="4" s="1"/>
  <c r="I5" i="42"/>
  <c r="L5" i="42" s="1"/>
  <c r="M8" i="4" s="1"/>
  <c r="I67" i="42"/>
  <c r="L67" i="42" s="1"/>
  <c r="M70" i="4" s="1"/>
  <c r="I8" i="42"/>
  <c r="L8" i="42" s="1"/>
  <c r="M11" i="4" s="1"/>
  <c r="I87" i="42"/>
  <c r="L87" i="42" s="1"/>
  <c r="M90" i="4" s="1"/>
  <c r="I68" i="42"/>
  <c r="L68" i="42" s="1"/>
  <c r="M71" i="4" s="1"/>
  <c r="I15" i="42"/>
  <c r="L15" i="42" s="1"/>
  <c r="M18" i="4" s="1"/>
  <c r="G200" i="42"/>
  <c r="I3" i="42"/>
  <c r="I99" i="42"/>
  <c r="L99" i="42" s="1"/>
  <c r="M102" i="4" s="1"/>
  <c r="I141" i="42"/>
  <c r="L141" i="42" s="1"/>
  <c r="M144" i="4" s="1"/>
  <c r="I46" i="42"/>
  <c r="L46" i="42" s="1"/>
  <c r="M49" i="4" s="1"/>
  <c r="I78" i="42"/>
  <c r="L78" i="42" s="1"/>
  <c r="M81" i="4" s="1"/>
  <c r="I134" i="42"/>
  <c r="L134" i="42" s="1"/>
  <c r="M137" i="4" s="1"/>
  <c r="I149" i="42"/>
  <c r="L149" i="42" s="1"/>
  <c r="M152" i="4" s="1"/>
  <c r="I53" i="42"/>
  <c r="L53" i="42" s="1"/>
  <c r="M56" i="4" s="1"/>
  <c r="I85" i="42"/>
  <c r="L85" i="42" s="1"/>
  <c r="M88" i="4" s="1"/>
  <c r="I174" i="42"/>
  <c r="L174" i="42" s="1"/>
  <c r="M177" i="4" s="1"/>
  <c r="I119" i="42"/>
  <c r="L119" i="42" s="1"/>
  <c r="M122" i="4" s="1"/>
  <c r="I151" i="42"/>
  <c r="L151" i="42" s="1"/>
  <c r="M154" i="4" s="1"/>
  <c r="I136" i="42"/>
  <c r="L136" i="42" s="1"/>
  <c r="M139" i="4" s="1"/>
  <c r="I168" i="42"/>
  <c r="L168" i="42" s="1"/>
  <c r="M171" i="4" s="1"/>
  <c r="H183" i="42"/>
  <c r="I183" i="42" s="1"/>
  <c r="I103" i="42"/>
  <c r="L103" i="42" s="1"/>
  <c r="M106" i="4" s="1"/>
  <c r="I18" i="42"/>
  <c r="L18" i="42" s="1"/>
  <c r="M21" i="4" s="1"/>
  <c r="I84" i="42"/>
  <c r="L84" i="42" s="1"/>
  <c r="M87" i="4" s="1"/>
  <c r="I9" i="42"/>
  <c r="L9" i="42" s="1"/>
  <c r="M12" i="4" s="1"/>
  <c r="I80" i="42"/>
  <c r="L80" i="42" s="1"/>
  <c r="M83" i="4" s="1"/>
  <c r="I12" i="42"/>
  <c r="L12" i="42" s="1"/>
  <c r="M15" i="4" s="1"/>
  <c r="I102" i="42"/>
  <c r="L102" i="42" s="1"/>
  <c r="M105" i="4" s="1"/>
  <c r="I92" i="42"/>
  <c r="L92" i="42" s="1"/>
  <c r="M95" i="4" s="1"/>
  <c r="I19" i="42"/>
  <c r="L19" i="42" s="1"/>
  <c r="M22" i="4" s="1"/>
  <c r="I29" i="42"/>
  <c r="L29" i="42" s="1"/>
  <c r="M32" i="4" s="1"/>
  <c r="I111" i="42"/>
  <c r="L111" i="42" s="1"/>
  <c r="M114" i="4" s="1"/>
  <c r="I162" i="42"/>
  <c r="L162" i="42" s="1"/>
  <c r="M165" i="4" s="1"/>
  <c r="I50" i="42"/>
  <c r="L50" i="42" s="1"/>
  <c r="M53" i="4" s="1"/>
  <c r="I82" i="42"/>
  <c r="L82" i="42" s="1"/>
  <c r="M85" i="4" s="1"/>
  <c r="I145" i="42"/>
  <c r="L145" i="42" s="1"/>
  <c r="M148" i="4" s="1"/>
  <c r="I170" i="42"/>
  <c r="L170" i="42" s="1"/>
  <c r="M173" i="4" s="1"/>
  <c r="I57" i="42"/>
  <c r="L57" i="42" s="1"/>
  <c r="M60" i="4" s="1"/>
  <c r="I89" i="42"/>
  <c r="L89" i="42" s="1"/>
  <c r="M92" i="4" s="1"/>
  <c r="I100" i="42"/>
  <c r="L100" i="42" s="1"/>
  <c r="M103" i="4" s="1"/>
  <c r="I123" i="42"/>
  <c r="L123" i="42" s="1"/>
  <c r="M126" i="4" s="1"/>
  <c r="I155" i="42"/>
  <c r="L155" i="42" s="1"/>
  <c r="M158" i="4" s="1"/>
  <c r="I108" i="42"/>
  <c r="L108" i="42" s="1"/>
  <c r="M111" i="4" s="1"/>
  <c r="I140" i="42"/>
  <c r="L140" i="42" s="1"/>
  <c r="M143" i="4" s="1"/>
  <c r="I172" i="42"/>
  <c r="L172" i="42" s="1"/>
  <c r="M175" i="4" s="1"/>
  <c r="I31" i="42"/>
  <c r="L31" i="42" s="1"/>
  <c r="M34" i="4" s="1"/>
  <c r="I83" i="42"/>
  <c r="L83" i="42" s="1"/>
  <c r="M86" i="4" s="1"/>
  <c r="I143" i="42"/>
  <c r="L143" i="42" s="1"/>
  <c r="M146" i="4" s="1"/>
  <c r="I40" i="42"/>
  <c r="L40" i="42" s="1"/>
  <c r="M43" i="4" s="1"/>
  <c r="I106" i="42"/>
  <c r="L106" i="42" s="1"/>
  <c r="M109" i="4" s="1"/>
  <c r="I13" i="42"/>
  <c r="L13" i="42" s="1"/>
  <c r="M16" i="4" s="1"/>
  <c r="I91" i="42"/>
  <c r="L91" i="42" s="1"/>
  <c r="M94" i="4" s="1"/>
  <c r="I16" i="42"/>
  <c r="L16" i="42" s="1"/>
  <c r="M19" i="4" s="1"/>
  <c r="I150" i="42"/>
  <c r="L150" i="42" s="1"/>
  <c r="M153" i="4" s="1"/>
  <c r="I169" i="42"/>
  <c r="L169" i="42" s="1"/>
  <c r="M172" i="4" s="1"/>
  <c r="I23" i="42"/>
  <c r="L23" i="42" s="1"/>
  <c r="M26" i="4" s="1"/>
  <c r="I36" i="42"/>
  <c r="L36" i="42" s="1"/>
  <c r="M39" i="4" s="1"/>
  <c r="I122" i="42"/>
  <c r="L122" i="42" s="1"/>
  <c r="M125" i="4" s="1"/>
  <c r="I173" i="42"/>
  <c r="L173" i="42" s="1"/>
  <c r="M176" i="4" s="1"/>
  <c r="I54" i="42"/>
  <c r="L54" i="42" s="1"/>
  <c r="M57" i="4" s="1"/>
  <c r="I86" i="42"/>
  <c r="L86" i="42" s="1"/>
  <c r="M89" i="4" s="1"/>
  <c r="I166" i="42"/>
  <c r="L166" i="42" s="1"/>
  <c r="M169" i="4" s="1"/>
  <c r="I181" i="42"/>
  <c r="L181" i="42" s="1"/>
  <c r="M184" i="4" s="1"/>
  <c r="I61" i="42"/>
  <c r="L61" i="42" s="1"/>
  <c r="M64" i="4" s="1"/>
  <c r="I93" i="42"/>
  <c r="L93" i="42" s="1"/>
  <c r="M96" i="4" s="1"/>
  <c r="I114" i="42"/>
  <c r="L114" i="42" s="1"/>
  <c r="M117" i="4" s="1"/>
  <c r="I127" i="42"/>
  <c r="L127" i="42" s="1"/>
  <c r="M130" i="4" s="1"/>
  <c r="I159" i="42"/>
  <c r="L159" i="42" s="1"/>
  <c r="M162" i="4" s="1"/>
  <c r="I112" i="42"/>
  <c r="L112" i="42" s="1"/>
  <c r="M115" i="4" s="1"/>
  <c r="I144" i="42"/>
  <c r="L144" i="42" s="1"/>
  <c r="M147" i="4" s="1"/>
  <c r="I176" i="42"/>
  <c r="L176" i="42" s="1"/>
  <c r="M179" i="4" s="1"/>
  <c r="I117" i="42"/>
  <c r="L117" i="42" s="1"/>
  <c r="M120" i="4" s="1"/>
  <c r="I26" i="42"/>
  <c r="L26" i="42" s="1"/>
  <c r="M29" i="4" s="1"/>
  <c r="I58" i="42"/>
  <c r="L58" i="42" s="1"/>
  <c r="M61" i="4" s="1"/>
  <c r="I90" i="42"/>
  <c r="L90" i="42" s="1"/>
  <c r="M93" i="4" s="1"/>
  <c r="I177" i="42"/>
  <c r="L177" i="42" s="1"/>
  <c r="M180" i="4" s="1"/>
  <c r="I33" i="42"/>
  <c r="L33" i="42" s="1"/>
  <c r="M36" i="4" s="1"/>
  <c r="I65" i="42"/>
  <c r="L65" i="42" s="1"/>
  <c r="M68" i="4" s="1"/>
  <c r="I97" i="42"/>
  <c r="L97" i="42" s="1"/>
  <c r="M100" i="4" s="1"/>
  <c r="I125" i="42"/>
  <c r="L125" i="42" s="1"/>
  <c r="M128" i="4" s="1"/>
  <c r="I131" i="42"/>
  <c r="L131" i="42" s="1"/>
  <c r="M134" i="4" s="1"/>
  <c r="I163" i="42"/>
  <c r="L163" i="42" s="1"/>
  <c r="M166" i="4" s="1"/>
  <c r="I116" i="42"/>
  <c r="L116" i="42" s="1"/>
  <c r="M119" i="4" s="1"/>
  <c r="I148" i="42"/>
  <c r="L148" i="42" s="1"/>
  <c r="M151" i="4" s="1"/>
  <c r="I180" i="42"/>
  <c r="L180" i="42" s="1"/>
  <c r="M183" i="4" s="1"/>
  <c r="H183" i="41"/>
  <c r="I183" i="41" s="1"/>
  <c r="I11" i="41"/>
  <c r="L11" i="41" s="1"/>
  <c r="J14" i="4" s="1"/>
  <c r="I51" i="41"/>
  <c r="L51" i="41" s="1"/>
  <c r="J54" i="4" s="1"/>
  <c r="I180" i="41"/>
  <c r="L180" i="41" s="1"/>
  <c r="J183" i="4" s="1"/>
  <c r="I96" i="41"/>
  <c r="L96" i="41" s="1"/>
  <c r="J99" i="4" s="1"/>
  <c r="I89" i="41"/>
  <c r="L89" i="41" s="1"/>
  <c r="J92" i="4" s="1"/>
  <c r="I9" i="41"/>
  <c r="L9" i="41" s="1"/>
  <c r="J12" i="4" s="1"/>
  <c r="I15" i="41"/>
  <c r="L15" i="41" s="1"/>
  <c r="J18" i="4" s="1"/>
  <c r="I90" i="41"/>
  <c r="L90" i="41" s="1"/>
  <c r="J93" i="4" s="1"/>
  <c r="I30" i="41"/>
  <c r="L30" i="41" s="1"/>
  <c r="J33" i="4" s="1"/>
  <c r="I62" i="41"/>
  <c r="L62" i="41" s="1"/>
  <c r="J65" i="4" s="1"/>
  <c r="I98" i="41"/>
  <c r="L98" i="41" s="1"/>
  <c r="J101" i="4" s="1"/>
  <c r="I17" i="41"/>
  <c r="L17" i="41" s="1"/>
  <c r="J20" i="4" s="1"/>
  <c r="I49" i="41"/>
  <c r="L49" i="41" s="1"/>
  <c r="J52" i="4" s="1"/>
  <c r="I81" i="41"/>
  <c r="L81" i="41" s="1"/>
  <c r="J84" i="4" s="1"/>
  <c r="I123" i="41"/>
  <c r="L123" i="41" s="1"/>
  <c r="J126" i="4" s="1"/>
  <c r="I155" i="41"/>
  <c r="L155" i="41" s="1"/>
  <c r="J158" i="4" s="1"/>
  <c r="I106" i="41"/>
  <c r="L106" i="41" s="1"/>
  <c r="J109" i="4" s="1"/>
  <c r="I138" i="41"/>
  <c r="L138" i="41" s="1"/>
  <c r="J141" i="4" s="1"/>
  <c r="I170" i="41"/>
  <c r="L170" i="41" s="1"/>
  <c r="J173" i="4" s="1"/>
  <c r="I121" i="41"/>
  <c r="L121" i="41" s="1"/>
  <c r="J124" i="4" s="1"/>
  <c r="L124" i="4" s="1"/>
  <c r="I153" i="41"/>
  <c r="L153" i="41" s="1"/>
  <c r="J156" i="4" s="1"/>
  <c r="I4" i="41"/>
  <c r="L4" i="41" s="1"/>
  <c r="J7" i="4" s="1"/>
  <c r="I27" i="41"/>
  <c r="L27" i="41" s="1"/>
  <c r="J30" i="4" s="1"/>
  <c r="I6" i="41"/>
  <c r="L6" i="41" s="1"/>
  <c r="J9" i="4" s="1"/>
  <c r="I28" i="41"/>
  <c r="L28" i="41" s="1"/>
  <c r="J31" i="4" s="1"/>
  <c r="L31" i="4" s="1"/>
  <c r="I59" i="41"/>
  <c r="L59" i="41" s="1"/>
  <c r="J62" i="4" s="1"/>
  <c r="I70" i="41"/>
  <c r="L70" i="41" s="1"/>
  <c r="J73" i="4" s="1"/>
  <c r="I25" i="41"/>
  <c r="L25" i="41" s="1"/>
  <c r="J28" i="4" s="1"/>
  <c r="I57" i="41"/>
  <c r="L57" i="41" s="1"/>
  <c r="J60" i="4" s="1"/>
  <c r="I94" i="41"/>
  <c r="L94" i="41" s="1"/>
  <c r="J97" i="4" s="1"/>
  <c r="I160" i="41"/>
  <c r="L160" i="41" s="1"/>
  <c r="J163" i="4" s="1"/>
  <c r="I131" i="41"/>
  <c r="L131" i="41" s="1"/>
  <c r="J134" i="4" s="1"/>
  <c r="I163" i="41"/>
  <c r="L163" i="41" s="1"/>
  <c r="J166" i="4" s="1"/>
  <c r="I129" i="41"/>
  <c r="L129" i="41" s="1"/>
  <c r="J132" i="4" s="1"/>
  <c r="I64" i="41"/>
  <c r="L64" i="41" s="1"/>
  <c r="J67" i="4" s="1"/>
  <c r="I116" i="41"/>
  <c r="L116" i="41" s="1"/>
  <c r="J119" i="4" s="1"/>
  <c r="I168" i="41"/>
  <c r="L168" i="41" s="1"/>
  <c r="J171" i="4" s="1"/>
  <c r="I39" i="41"/>
  <c r="L39" i="41" s="1"/>
  <c r="J42" i="4" s="1"/>
  <c r="I156" i="41"/>
  <c r="L156" i="41" s="1"/>
  <c r="J159" i="4" s="1"/>
  <c r="I34" i="41"/>
  <c r="L34" i="41" s="1"/>
  <c r="J37" i="4" s="1"/>
  <c r="I66" i="41"/>
  <c r="L66" i="41" s="1"/>
  <c r="J69" i="4" s="1"/>
  <c r="I21" i="41"/>
  <c r="L21" i="41" s="1"/>
  <c r="J24" i="4" s="1"/>
  <c r="I53" i="41"/>
  <c r="L53" i="41" s="1"/>
  <c r="J56" i="4" s="1"/>
  <c r="I84" i="41"/>
  <c r="L84" i="41" s="1"/>
  <c r="J87" i="4" s="1"/>
  <c r="L87" i="4" s="1"/>
  <c r="I128" i="41"/>
  <c r="L128" i="41" s="1"/>
  <c r="J131" i="4" s="1"/>
  <c r="I127" i="41"/>
  <c r="L127" i="41" s="1"/>
  <c r="J130" i="4" s="1"/>
  <c r="I159" i="41"/>
  <c r="L159" i="41" s="1"/>
  <c r="J162" i="4" s="1"/>
  <c r="I110" i="41"/>
  <c r="L110" i="41" s="1"/>
  <c r="J113" i="4" s="1"/>
  <c r="I142" i="41"/>
  <c r="L142" i="41" s="1"/>
  <c r="J145" i="4" s="1"/>
  <c r="I174" i="41"/>
  <c r="L174" i="41" s="1"/>
  <c r="J177" i="4" s="1"/>
  <c r="I125" i="41"/>
  <c r="L125" i="41" s="1"/>
  <c r="J128" i="4" s="1"/>
  <c r="I7" i="41"/>
  <c r="L7" i="41" s="1"/>
  <c r="J10" i="4" s="1"/>
  <c r="G200" i="41"/>
  <c r="I3" i="41"/>
  <c r="I157" i="41"/>
  <c r="L157" i="41" s="1"/>
  <c r="J160" i="4" s="1"/>
  <c r="I132" i="41"/>
  <c r="L132" i="41" s="1"/>
  <c r="J135" i="4" s="1"/>
  <c r="I114" i="41"/>
  <c r="L114" i="41" s="1"/>
  <c r="J117" i="4" s="1"/>
  <c r="I161" i="41"/>
  <c r="L161" i="41" s="1"/>
  <c r="J164" i="4" s="1"/>
  <c r="I20" i="41"/>
  <c r="L20" i="41" s="1"/>
  <c r="J23" i="4" s="1"/>
  <c r="I47" i="41"/>
  <c r="L47" i="41" s="1"/>
  <c r="J50" i="4" s="1"/>
  <c r="I14" i="41"/>
  <c r="L14" i="41" s="1"/>
  <c r="J17" i="4" s="1"/>
  <c r="I31" i="41"/>
  <c r="L31" i="41" s="1"/>
  <c r="J34" i="4" s="1"/>
  <c r="I10" i="41"/>
  <c r="L10" i="41" s="1"/>
  <c r="J13" i="4" s="1"/>
  <c r="I35" i="41"/>
  <c r="L35" i="41" s="1"/>
  <c r="J38" i="4" s="1"/>
  <c r="I72" i="41"/>
  <c r="L72" i="41" s="1"/>
  <c r="J75" i="4" s="1"/>
  <c r="I32" i="41"/>
  <c r="L32" i="41" s="1"/>
  <c r="J35" i="4" s="1"/>
  <c r="I112" i="41"/>
  <c r="L112" i="41" s="1"/>
  <c r="J115" i="4" s="1"/>
  <c r="I42" i="41"/>
  <c r="L42" i="41" s="1"/>
  <c r="J45" i="4" s="1"/>
  <c r="I74" i="41"/>
  <c r="L74" i="41" s="1"/>
  <c r="J77" i="4" s="1"/>
  <c r="I164" i="41"/>
  <c r="L164" i="41" s="1"/>
  <c r="J167" i="4" s="1"/>
  <c r="I29" i="41"/>
  <c r="L29" i="41" s="1"/>
  <c r="J32" i="4" s="1"/>
  <c r="I61" i="41"/>
  <c r="L61" i="41" s="1"/>
  <c r="J64" i="4" s="1"/>
  <c r="I97" i="41"/>
  <c r="L97" i="41" s="1"/>
  <c r="J100" i="4" s="1"/>
  <c r="I103" i="41"/>
  <c r="L103" i="41" s="1"/>
  <c r="J106" i="4" s="1"/>
  <c r="I135" i="41"/>
  <c r="L135" i="41" s="1"/>
  <c r="J138" i="4" s="1"/>
  <c r="I167" i="41"/>
  <c r="L167" i="41" s="1"/>
  <c r="J170" i="4" s="1"/>
  <c r="I118" i="41"/>
  <c r="L118" i="41" s="1"/>
  <c r="J121" i="4" s="1"/>
  <c r="I150" i="41"/>
  <c r="L150" i="41" s="1"/>
  <c r="J153" i="4" s="1"/>
  <c r="I182" i="41"/>
  <c r="L182" i="41" s="1"/>
  <c r="J185" i="4" s="1"/>
  <c r="I133" i="41"/>
  <c r="L133" i="41" s="1"/>
  <c r="J136" i="4" s="1"/>
  <c r="I165" i="41"/>
  <c r="L165" i="41" s="1"/>
  <c r="J168" i="4" s="1"/>
  <c r="I87" i="41"/>
  <c r="L87" i="41" s="1"/>
  <c r="J90" i="4" s="1"/>
  <c r="I95" i="41"/>
  <c r="L95" i="41" s="1"/>
  <c r="J98" i="4" s="1"/>
  <c r="I75" i="41"/>
  <c r="L75" i="41" s="1"/>
  <c r="J78" i="4" s="1"/>
  <c r="I56" i="41"/>
  <c r="L56" i="41" s="1"/>
  <c r="J59" i="4" s="1"/>
  <c r="I36" i="41"/>
  <c r="L36" i="41" s="1"/>
  <c r="J39" i="4" s="1"/>
  <c r="I44" i="41"/>
  <c r="L44" i="41" s="1"/>
  <c r="J47" i="4" s="1"/>
  <c r="I16" i="41"/>
  <c r="L16" i="41" s="1"/>
  <c r="J19" i="4" s="1"/>
  <c r="I63" i="41"/>
  <c r="L63" i="41" s="1"/>
  <c r="J66" i="4" s="1"/>
  <c r="I92" i="41"/>
  <c r="L92" i="41" s="1"/>
  <c r="J95" i="4" s="1"/>
  <c r="I43" i="41"/>
  <c r="L43" i="41" s="1"/>
  <c r="J46" i="4" s="1"/>
  <c r="I144" i="41"/>
  <c r="L144" i="41" s="1"/>
  <c r="J147" i="4" s="1"/>
  <c r="I46" i="41"/>
  <c r="L46" i="41" s="1"/>
  <c r="J49" i="4" s="1"/>
  <c r="I78" i="41"/>
  <c r="L78" i="41" s="1"/>
  <c r="J81" i="4" s="1"/>
  <c r="I91" i="41"/>
  <c r="L91" i="41" s="1"/>
  <c r="J94" i="4" s="1"/>
  <c r="I33" i="41"/>
  <c r="L33" i="41" s="1"/>
  <c r="J36" i="4" s="1"/>
  <c r="I65" i="41"/>
  <c r="L65" i="41" s="1"/>
  <c r="J68" i="4" s="1"/>
  <c r="I100" i="41"/>
  <c r="L100" i="41" s="1"/>
  <c r="J103" i="4" s="1"/>
  <c r="I107" i="41"/>
  <c r="L107" i="41" s="1"/>
  <c r="J110" i="4" s="1"/>
  <c r="I139" i="41"/>
  <c r="L139" i="41" s="1"/>
  <c r="J142" i="4" s="1"/>
  <c r="L142" i="4" s="1"/>
  <c r="I171" i="41"/>
  <c r="L171" i="41" s="1"/>
  <c r="J174" i="4" s="1"/>
  <c r="L174" i="4" s="1"/>
  <c r="I122" i="41"/>
  <c r="L122" i="41" s="1"/>
  <c r="J125" i="4" s="1"/>
  <c r="I154" i="41"/>
  <c r="L154" i="41" s="1"/>
  <c r="J157" i="4" s="1"/>
  <c r="I105" i="41"/>
  <c r="L105" i="41" s="1"/>
  <c r="J108" i="4" s="1"/>
  <c r="I137" i="41"/>
  <c r="L137" i="41" s="1"/>
  <c r="J140" i="4" s="1"/>
  <c r="I169" i="41"/>
  <c r="L169" i="41" s="1"/>
  <c r="J172" i="4" s="1"/>
  <c r="I148" i="41"/>
  <c r="L148" i="41" s="1"/>
  <c r="J151" i="4" s="1"/>
  <c r="L151" i="4" s="1"/>
  <c r="I86" i="41"/>
  <c r="L86" i="41" s="1"/>
  <c r="J89" i="4" s="1"/>
  <c r="I93" i="41"/>
  <c r="L93" i="41" s="1"/>
  <c r="J96" i="4" s="1"/>
  <c r="I48" i="41"/>
  <c r="L48" i="41" s="1"/>
  <c r="J51" i="4" s="1"/>
  <c r="I19" i="41"/>
  <c r="L19" i="41" s="1"/>
  <c r="J22" i="4" s="1"/>
  <c r="L22" i="4" s="1"/>
  <c r="I76" i="41"/>
  <c r="L76" i="41" s="1"/>
  <c r="J79" i="4" s="1"/>
  <c r="I99" i="41"/>
  <c r="L99" i="41" s="1"/>
  <c r="J102" i="4" s="1"/>
  <c r="I55" i="41"/>
  <c r="L55" i="41" s="1"/>
  <c r="J58" i="4" s="1"/>
  <c r="I176" i="41"/>
  <c r="L176" i="41" s="1"/>
  <c r="J179" i="4" s="1"/>
  <c r="I50" i="41"/>
  <c r="L50" i="41" s="1"/>
  <c r="J53" i="4" s="1"/>
  <c r="I82" i="41"/>
  <c r="L82" i="41" s="1"/>
  <c r="J85" i="4" s="1"/>
  <c r="I120" i="41"/>
  <c r="L120" i="41" s="1"/>
  <c r="J123" i="4" s="1"/>
  <c r="I37" i="41"/>
  <c r="L37" i="41" s="1"/>
  <c r="J40" i="4" s="1"/>
  <c r="I69" i="41"/>
  <c r="L69" i="41" s="1"/>
  <c r="J72" i="4" s="1"/>
  <c r="I108" i="41"/>
  <c r="L108" i="41" s="1"/>
  <c r="J111" i="4" s="1"/>
  <c r="I111" i="41"/>
  <c r="L111" i="41" s="1"/>
  <c r="J114" i="4" s="1"/>
  <c r="I143" i="41"/>
  <c r="L143" i="41" s="1"/>
  <c r="J146" i="4" s="1"/>
  <c r="I175" i="41"/>
  <c r="L175" i="41" s="1"/>
  <c r="J178" i="4" s="1"/>
  <c r="I126" i="41"/>
  <c r="L126" i="41" s="1"/>
  <c r="J129" i="4" s="1"/>
  <c r="I158" i="41"/>
  <c r="L158" i="41" s="1"/>
  <c r="J161" i="4" s="1"/>
  <c r="I109" i="41"/>
  <c r="L109" i="41" s="1"/>
  <c r="J112" i="4" s="1"/>
  <c r="I141" i="41"/>
  <c r="L141" i="41" s="1"/>
  <c r="J144" i="4" s="1"/>
  <c r="I173" i="41"/>
  <c r="L173" i="41" s="1"/>
  <c r="J176" i="4" s="1"/>
  <c r="I18" i="41"/>
  <c r="L18" i="41" s="1"/>
  <c r="J21" i="4" s="1"/>
  <c r="I101" i="41"/>
  <c r="L101" i="41" s="1"/>
  <c r="J104" i="4" s="1"/>
  <c r="I38" i="41"/>
  <c r="L38" i="41" s="1"/>
  <c r="J41" i="4" s="1"/>
  <c r="I178" i="41"/>
  <c r="L178" i="41" s="1"/>
  <c r="J181" i="4" s="1"/>
  <c r="I40" i="41"/>
  <c r="L40" i="41" s="1"/>
  <c r="J43" i="4" s="1"/>
  <c r="I102" i="41"/>
  <c r="L102" i="41" s="1"/>
  <c r="J105" i="4" s="1"/>
  <c r="I124" i="41"/>
  <c r="L124" i="41" s="1"/>
  <c r="J127" i="4" s="1"/>
  <c r="I52" i="41"/>
  <c r="L52" i="41" s="1"/>
  <c r="J55" i="4" s="1"/>
  <c r="I67" i="41"/>
  <c r="L67" i="41" s="1"/>
  <c r="J70" i="4" s="1"/>
  <c r="I136" i="41"/>
  <c r="L136" i="41" s="1"/>
  <c r="J139" i="4" s="1"/>
  <c r="I104" i="41"/>
  <c r="L104" i="41" s="1"/>
  <c r="J107" i="4" s="1"/>
  <c r="I68" i="41"/>
  <c r="L68" i="41" s="1"/>
  <c r="J71" i="4" s="1"/>
  <c r="I22" i="41"/>
  <c r="L22" i="41" s="1"/>
  <c r="J25" i="4" s="1"/>
  <c r="I54" i="41"/>
  <c r="L54" i="41" s="1"/>
  <c r="J57" i="4" s="1"/>
  <c r="I85" i="41"/>
  <c r="L85" i="41" s="1"/>
  <c r="J88" i="4" s="1"/>
  <c r="L88" i="4" s="1"/>
  <c r="I152" i="41"/>
  <c r="L152" i="41" s="1"/>
  <c r="J155" i="4" s="1"/>
  <c r="I41" i="41"/>
  <c r="L41" i="41" s="1"/>
  <c r="J44" i="4" s="1"/>
  <c r="I73" i="41"/>
  <c r="L73" i="41" s="1"/>
  <c r="J76" i="4" s="1"/>
  <c r="I140" i="41"/>
  <c r="L140" i="41" s="1"/>
  <c r="J143" i="4" s="1"/>
  <c r="I115" i="41"/>
  <c r="L115" i="41" s="1"/>
  <c r="J118" i="4" s="1"/>
  <c r="I147" i="41"/>
  <c r="L147" i="41" s="1"/>
  <c r="J150" i="4" s="1"/>
  <c r="I179" i="41"/>
  <c r="L179" i="41" s="1"/>
  <c r="J182" i="4" s="1"/>
  <c r="I130" i="41"/>
  <c r="L130" i="41" s="1"/>
  <c r="J133" i="4" s="1"/>
  <c r="I162" i="41"/>
  <c r="L162" i="41" s="1"/>
  <c r="J165" i="4" s="1"/>
  <c r="I113" i="41"/>
  <c r="L113" i="41" s="1"/>
  <c r="J116" i="4" s="1"/>
  <c r="I145" i="41"/>
  <c r="L145" i="41" s="1"/>
  <c r="J148" i="4" s="1"/>
  <c r="I177" i="41"/>
  <c r="L177" i="41" s="1"/>
  <c r="J180" i="4" s="1"/>
  <c r="I24" i="41"/>
  <c r="L24" i="41" s="1"/>
  <c r="J27" i="4" s="1"/>
  <c r="I23" i="41"/>
  <c r="L23" i="41" s="1"/>
  <c r="J26" i="4" s="1"/>
  <c r="I146" i="41"/>
  <c r="L146" i="41" s="1"/>
  <c r="J149" i="4" s="1"/>
  <c r="I79" i="41"/>
  <c r="L79" i="41" s="1"/>
  <c r="J82" i="4" s="1"/>
  <c r="I8" i="41"/>
  <c r="L8" i="41" s="1"/>
  <c r="J11" i="4" s="1"/>
  <c r="I60" i="41"/>
  <c r="L60" i="41" s="1"/>
  <c r="J63" i="4" s="1"/>
  <c r="I71" i="41"/>
  <c r="L71" i="41" s="1"/>
  <c r="J74" i="4" s="1"/>
  <c r="I80" i="41"/>
  <c r="L80" i="41" s="1"/>
  <c r="J83" i="4" s="1"/>
  <c r="I5" i="41"/>
  <c r="L5" i="41" s="1"/>
  <c r="J8" i="4" s="1"/>
  <c r="I12" i="41"/>
  <c r="L12" i="41" s="1"/>
  <c r="J15" i="4" s="1"/>
  <c r="L15" i="4" s="1"/>
  <c r="I83" i="41"/>
  <c r="L83" i="41" s="1"/>
  <c r="J86" i="4" s="1"/>
  <c r="I26" i="41"/>
  <c r="L26" i="41" s="1"/>
  <c r="J29" i="4" s="1"/>
  <c r="I58" i="41"/>
  <c r="L58" i="41" s="1"/>
  <c r="J61" i="4" s="1"/>
  <c r="I88" i="41"/>
  <c r="L88" i="41" s="1"/>
  <c r="J91" i="4" s="1"/>
  <c r="I13" i="41"/>
  <c r="L13" i="41" s="1"/>
  <c r="J16" i="4" s="1"/>
  <c r="I45" i="41"/>
  <c r="L45" i="41" s="1"/>
  <c r="J48" i="4" s="1"/>
  <c r="I77" i="41"/>
  <c r="L77" i="41" s="1"/>
  <c r="J80" i="4" s="1"/>
  <c r="I172" i="41"/>
  <c r="L172" i="41" s="1"/>
  <c r="J175" i="4" s="1"/>
  <c r="L175" i="4" s="1"/>
  <c r="I119" i="41"/>
  <c r="L119" i="41" s="1"/>
  <c r="J122" i="4" s="1"/>
  <c r="I151" i="41"/>
  <c r="L151" i="41" s="1"/>
  <c r="J154" i="4" s="1"/>
  <c r="L154" i="4" s="1"/>
  <c r="I134" i="41"/>
  <c r="L134" i="41" s="1"/>
  <c r="J137" i="4" s="1"/>
  <c r="I166" i="41"/>
  <c r="L166" i="41" s="1"/>
  <c r="J169" i="4" s="1"/>
  <c r="I117" i="41"/>
  <c r="L117" i="41" s="1"/>
  <c r="J120" i="4" s="1"/>
  <c r="I149" i="41"/>
  <c r="L149" i="41" s="1"/>
  <c r="J152" i="4" s="1"/>
  <c r="I181" i="41"/>
  <c r="L181" i="41" s="1"/>
  <c r="J184" i="4" s="1"/>
  <c r="I111" i="4"/>
  <c r="I79" i="4"/>
  <c r="I71" i="4"/>
  <c r="I52" i="4"/>
  <c r="I136" i="4"/>
  <c r="I101" i="4"/>
  <c r="I109" i="4"/>
  <c r="I57" i="4"/>
  <c r="I165" i="4"/>
  <c r="I133" i="4"/>
  <c r="I103" i="4"/>
  <c r="I66" i="4"/>
  <c r="I120" i="4"/>
  <c r="I19" i="4"/>
  <c r="I92" i="4"/>
  <c r="I98" i="4"/>
  <c r="I85" i="4"/>
  <c r="I75" i="4"/>
  <c r="I130" i="4"/>
  <c r="I162" i="4"/>
  <c r="I139" i="4"/>
  <c r="I107" i="4"/>
  <c r="I149" i="4"/>
  <c r="I76" i="4"/>
  <c r="I183" i="40"/>
  <c r="I44" i="4"/>
  <c r="I41" i="4"/>
  <c r="I29" i="4"/>
  <c r="I39" i="4"/>
  <c r="I86" i="4"/>
  <c r="I17" i="4"/>
  <c r="I137" i="4"/>
  <c r="I150" i="4"/>
  <c r="I159" i="4"/>
  <c r="I67" i="4"/>
  <c r="I127" i="4"/>
  <c r="I54" i="4"/>
  <c r="I20" i="4"/>
  <c r="I95" i="4"/>
  <c r="I176" i="4"/>
  <c r="I27" i="4"/>
  <c r="I152" i="4"/>
  <c r="I9" i="4"/>
  <c r="I97" i="4"/>
  <c r="I108" i="4"/>
  <c r="I105" i="4"/>
  <c r="I163" i="4"/>
  <c r="I73" i="4"/>
  <c r="I180" i="4"/>
  <c r="I12" i="4"/>
  <c r="I123" i="4"/>
  <c r="I161" i="4"/>
  <c r="I129" i="4"/>
  <c r="I45" i="4"/>
  <c r="I59" i="4"/>
  <c r="I91" i="4"/>
  <c r="I146" i="4"/>
  <c r="I23" i="4"/>
  <c r="I104" i="4"/>
  <c r="I34" i="4"/>
  <c r="I168" i="4"/>
  <c r="I110" i="4"/>
  <c r="I119" i="4"/>
  <c r="I10" i="4"/>
  <c r="I62" i="4"/>
  <c r="I40" i="4"/>
  <c r="I30" i="4"/>
  <c r="I36" i="4"/>
  <c r="I33" i="4"/>
  <c r="I68" i="4"/>
  <c r="I8" i="4"/>
  <c r="I141" i="4"/>
  <c r="I55" i="4"/>
  <c r="I69" i="4"/>
  <c r="I18" i="4"/>
  <c r="I25" i="4"/>
  <c r="I16" i="4"/>
  <c r="I38" i="4"/>
  <c r="I61" i="4"/>
  <c r="I148" i="4"/>
  <c r="I11" i="4"/>
  <c r="I84" i="4"/>
  <c r="I116" i="4"/>
  <c r="I56" i="4"/>
  <c r="I47" i="4"/>
  <c r="I82" i="4"/>
  <c r="I80" i="4"/>
  <c r="I46" i="4"/>
  <c r="I35" i="4"/>
  <c r="I3" i="40"/>
  <c r="G200" i="40"/>
  <c r="I24" i="4"/>
  <c r="G199" i="47"/>
  <c r="L3" i="47"/>
  <c r="Y6" i="4" s="1"/>
  <c r="G198" i="47"/>
  <c r="H183" i="45"/>
  <c r="I183" i="45" s="1"/>
  <c r="I3" i="45"/>
  <c r="G199" i="38"/>
  <c r="G198" i="38"/>
  <c r="L3" i="38"/>
  <c r="D6" i="4" s="1"/>
  <c r="F6" i="4" s="1"/>
  <c r="L115" i="4" l="1"/>
  <c r="I3" i="49"/>
  <c r="G198" i="49" s="1"/>
  <c r="O31" i="4"/>
  <c r="R31" i="4" s="1"/>
  <c r="L93" i="4"/>
  <c r="O93" i="4" s="1"/>
  <c r="R93" i="4" s="1"/>
  <c r="U93" i="4" s="1"/>
  <c r="X93" i="4" s="1"/>
  <c r="AA93" i="4" s="1"/>
  <c r="AD93" i="4" s="1"/>
  <c r="AG93" i="4" s="1"/>
  <c r="L73" i="4"/>
  <c r="O73" i="4" s="1"/>
  <c r="R73" i="4" s="1"/>
  <c r="U73" i="4" s="1"/>
  <c r="X73" i="4" s="1"/>
  <c r="AA73" i="4" s="1"/>
  <c r="AD73" i="4" s="1"/>
  <c r="AG73" i="4" s="1"/>
  <c r="L98" i="4"/>
  <c r="L101" i="4"/>
  <c r="O101" i="4" s="1"/>
  <c r="R101" i="4" s="1"/>
  <c r="U101" i="4" s="1"/>
  <c r="X101" i="4" s="1"/>
  <c r="AA101" i="4" s="1"/>
  <c r="AD101" i="4" s="1"/>
  <c r="AG101" i="4" s="1"/>
  <c r="L56" i="4"/>
  <c r="O56" i="4" s="1"/>
  <c r="R56" i="4" s="1"/>
  <c r="U56" i="4" s="1"/>
  <c r="X56" i="4" s="1"/>
  <c r="AA56" i="4" s="1"/>
  <c r="AD56" i="4" s="1"/>
  <c r="AG56" i="4" s="1"/>
  <c r="L183" i="4"/>
  <c r="O183" i="4" s="1"/>
  <c r="R183" i="4" s="1"/>
  <c r="U183" i="4" s="1"/>
  <c r="X183" i="4" s="1"/>
  <c r="AA183" i="4" s="1"/>
  <c r="AD183" i="4" s="1"/>
  <c r="AG183" i="4" s="1"/>
  <c r="L48" i="4"/>
  <c r="O48" i="4" s="1"/>
  <c r="R48" i="4" s="1"/>
  <c r="U48" i="4" s="1"/>
  <c r="X48" i="4" s="1"/>
  <c r="AA48" i="4" s="1"/>
  <c r="AD48" i="4" s="1"/>
  <c r="AG48" i="4" s="1"/>
  <c r="L179" i="4"/>
  <c r="O179" i="4" s="1"/>
  <c r="R179" i="4" s="1"/>
  <c r="U179" i="4" s="1"/>
  <c r="X179" i="4" s="1"/>
  <c r="AA179" i="4" s="1"/>
  <c r="AD179" i="4" s="1"/>
  <c r="AG179" i="4" s="1"/>
  <c r="L83" i="4"/>
  <c r="O83" i="4" s="1"/>
  <c r="R83" i="4" s="1"/>
  <c r="U83" i="4" s="1"/>
  <c r="X83" i="4" s="1"/>
  <c r="AA83" i="4" s="1"/>
  <c r="AD83" i="4" s="1"/>
  <c r="AG83" i="4" s="1"/>
  <c r="L113" i="4"/>
  <c r="O113" i="4" s="1"/>
  <c r="R113" i="4" s="1"/>
  <c r="U113" i="4" s="1"/>
  <c r="X113" i="4" s="1"/>
  <c r="AA113" i="4" s="1"/>
  <c r="AD113" i="4" s="1"/>
  <c r="AG113" i="4" s="1"/>
  <c r="L65" i="4"/>
  <c r="O65" i="4" s="1"/>
  <c r="R65" i="4" s="1"/>
  <c r="U65" i="4" s="1"/>
  <c r="X65" i="4" s="1"/>
  <c r="AA65" i="4" s="1"/>
  <c r="AD65" i="4" s="1"/>
  <c r="AG65" i="4" s="1"/>
  <c r="L126" i="4"/>
  <c r="O126" i="4" s="1"/>
  <c r="R126" i="4" s="1"/>
  <c r="U126" i="4" s="1"/>
  <c r="X126" i="4" s="1"/>
  <c r="AA126" i="4" s="1"/>
  <c r="AD126" i="4" s="1"/>
  <c r="AG126" i="4" s="1"/>
  <c r="L147" i="4"/>
  <c r="O147" i="4" s="1"/>
  <c r="R147" i="4" s="1"/>
  <c r="U147" i="4" s="1"/>
  <c r="X147" i="4" s="1"/>
  <c r="AA147" i="4" s="1"/>
  <c r="AD147" i="4" s="1"/>
  <c r="AG147" i="4" s="1"/>
  <c r="L100" i="4"/>
  <c r="O100" i="4" s="1"/>
  <c r="R100" i="4" s="1"/>
  <c r="U100" i="4" s="1"/>
  <c r="X100" i="4" s="1"/>
  <c r="AA100" i="4" s="1"/>
  <c r="AD100" i="4" s="1"/>
  <c r="AG100" i="4" s="1"/>
  <c r="L14" i="4"/>
  <c r="O14" i="4" s="1"/>
  <c r="R14" i="4" s="1"/>
  <c r="U14" i="4" s="1"/>
  <c r="X14" i="4" s="1"/>
  <c r="AA14" i="4" s="1"/>
  <c r="AD14" i="4" s="1"/>
  <c r="AG14" i="4" s="1"/>
  <c r="L32" i="4"/>
  <c r="O32" i="4" s="1"/>
  <c r="R32" i="4" s="1"/>
  <c r="U32" i="4" s="1"/>
  <c r="X32" i="4" s="1"/>
  <c r="AA32" i="4" s="1"/>
  <c r="AD32" i="4" s="1"/>
  <c r="AG32" i="4" s="1"/>
  <c r="L172" i="4"/>
  <c r="O172" i="4" s="1"/>
  <c r="R172" i="4" s="1"/>
  <c r="U172" i="4" s="1"/>
  <c r="X172" i="4" s="1"/>
  <c r="AA172" i="4" s="1"/>
  <c r="AD172" i="4" s="1"/>
  <c r="AG172" i="4" s="1"/>
  <c r="L144" i="4"/>
  <c r="O144" i="4" s="1"/>
  <c r="R144" i="4" s="1"/>
  <c r="U144" i="4" s="1"/>
  <c r="X144" i="4" s="1"/>
  <c r="AA144" i="4" s="1"/>
  <c r="AD144" i="4" s="1"/>
  <c r="AG144" i="4" s="1"/>
  <c r="L37" i="4"/>
  <c r="O37" i="4" s="1"/>
  <c r="R37" i="4" s="1"/>
  <c r="U37" i="4" s="1"/>
  <c r="X37" i="4" s="1"/>
  <c r="AA37" i="4" s="1"/>
  <c r="AD37" i="4" s="1"/>
  <c r="AG37" i="4" s="1"/>
  <c r="L42" i="4"/>
  <c r="O42" i="4" s="1"/>
  <c r="R42" i="4" s="1"/>
  <c r="U42" i="4" s="1"/>
  <c r="X42" i="4" s="1"/>
  <c r="AA42" i="4" s="1"/>
  <c r="AD42" i="4" s="1"/>
  <c r="AG42" i="4" s="1"/>
  <c r="L114" i="4"/>
  <c r="O114" i="4" s="1"/>
  <c r="R114" i="4" s="1"/>
  <c r="U114" i="4" s="1"/>
  <c r="X114" i="4" s="1"/>
  <c r="AA114" i="4" s="1"/>
  <c r="AD114" i="4" s="1"/>
  <c r="AG114" i="4" s="1"/>
  <c r="L181" i="4"/>
  <c r="O181" i="4" s="1"/>
  <c r="R181" i="4" s="1"/>
  <c r="U181" i="4" s="1"/>
  <c r="X181" i="4" s="1"/>
  <c r="AA181" i="4" s="1"/>
  <c r="AD181" i="4" s="1"/>
  <c r="AG181" i="4" s="1"/>
  <c r="L53" i="4"/>
  <c r="O53" i="4" s="1"/>
  <c r="R53" i="4" s="1"/>
  <c r="U53" i="4" s="1"/>
  <c r="X53" i="4" s="1"/>
  <c r="AA53" i="4" s="1"/>
  <c r="AD53" i="4" s="1"/>
  <c r="AG53" i="4" s="1"/>
  <c r="L78" i="4"/>
  <c r="O78" i="4" s="1"/>
  <c r="R78" i="4" s="1"/>
  <c r="U78" i="4" s="1"/>
  <c r="X78" i="4" s="1"/>
  <c r="AA78" i="4" s="1"/>
  <c r="AD78" i="4" s="1"/>
  <c r="AG78" i="4" s="1"/>
  <c r="L7" i="4"/>
  <c r="O7" i="4" s="1"/>
  <c r="R7" i="4" s="1"/>
  <c r="U7" i="4" s="1"/>
  <c r="X7" i="4" s="1"/>
  <c r="AA7" i="4" s="1"/>
  <c r="AD7" i="4" s="1"/>
  <c r="AG7" i="4" s="1"/>
  <c r="L90" i="4"/>
  <c r="O90" i="4" s="1"/>
  <c r="R90" i="4" s="1"/>
  <c r="U90" i="4" s="1"/>
  <c r="X90" i="4" s="1"/>
  <c r="AA90" i="4" s="1"/>
  <c r="AD90" i="4" s="1"/>
  <c r="AG90" i="4" s="1"/>
  <c r="L70" i="4"/>
  <c r="O70" i="4" s="1"/>
  <c r="R70" i="4" s="1"/>
  <c r="U70" i="4" s="1"/>
  <c r="X70" i="4" s="1"/>
  <c r="AA70" i="4" s="1"/>
  <c r="AD70" i="4" s="1"/>
  <c r="AG70" i="4" s="1"/>
  <c r="L43" i="4"/>
  <c r="O43" i="4" s="1"/>
  <c r="R43" i="4" s="1"/>
  <c r="U43" i="4" s="1"/>
  <c r="X43" i="4" s="1"/>
  <c r="AA43" i="4" s="1"/>
  <c r="AD43" i="4" s="1"/>
  <c r="AG43" i="4" s="1"/>
  <c r="L118" i="4"/>
  <c r="O118" i="4" s="1"/>
  <c r="R118" i="4" s="1"/>
  <c r="U118" i="4" s="1"/>
  <c r="X118" i="4" s="1"/>
  <c r="AA118" i="4" s="1"/>
  <c r="AD118" i="4" s="1"/>
  <c r="AG118" i="4" s="1"/>
  <c r="L184" i="4"/>
  <c r="O184" i="4" s="1"/>
  <c r="R184" i="4" s="1"/>
  <c r="U184" i="4" s="1"/>
  <c r="X184" i="4" s="1"/>
  <c r="AA184" i="4" s="1"/>
  <c r="AD184" i="4" s="1"/>
  <c r="AG184" i="4" s="1"/>
  <c r="L81" i="4"/>
  <c r="O81" i="4" s="1"/>
  <c r="R81" i="4" s="1"/>
  <c r="U81" i="4" s="1"/>
  <c r="X81" i="4" s="1"/>
  <c r="AA81" i="4" s="1"/>
  <c r="AD81" i="4" s="1"/>
  <c r="AG81" i="4" s="1"/>
  <c r="L96" i="4"/>
  <c r="O96" i="4" s="1"/>
  <c r="R96" i="4" s="1"/>
  <c r="U96" i="4" s="1"/>
  <c r="X96" i="4" s="1"/>
  <c r="AA96" i="4" s="1"/>
  <c r="AD96" i="4" s="1"/>
  <c r="AG96" i="4" s="1"/>
  <c r="L28" i="4"/>
  <c r="O28" i="4" s="1"/>
  <c r="R28" i="4" s="1"/>
  <c r="U28" i="4" s="1"/>
  <c r="X28" i="4" s="1"/>
  <c r="AA28" i="4" s="1"/>
  <c r="AD28" i="4" s="1"/>
  <c r="AG28" i="4" s="1"/>
  <c r="L26" i="4"/>
  <c r="O26" i="4" s="1"/>
  <c r="R26" i="4" s="1"/>
  <c r="U26" i="4" s="1"/>
  <c r="X26" i="4" s="1"/>
  <c r="AA26" i="4" s="1"/>
  <c r="AD26" i="4" s="1"/>
  <c r="AG26" i="4" s="1"/>
  <c r="L74" i="4"/>
  <c r="O74" i="4" s="1"/>
  <c r="R74" i="4" s="1"/>
  <c r="U74" i="4" s="1"/>
  <c r="X74" i="4" s="1"/>
  <c r="AA74" i="4" s="1"/>
  <c r="AD74" i="4" s="1"/>
  <c r="AG74" i="4" s="1"/>
  <c r="L145" i="4"/>
  <c r="O145" i="4" s="1"/>
  <c r="R145" i="4" s="1"/>
  <c r="U145" i="4" s="1"/>
  <c r="X145" i="4" s="1"/>
  <c r="AA145" i="4" s="1"/>
  <c r="AD145" i="4" s="1"/>
  <c r="AG145" i="4" s="1"/>
  <c r="L128" i="4"/>
  <c r="O128" i="4" s="1"/>
  <c r="R128" i="4" s="1"/>
  <c r="U128" i="4" s="1"/>
  <c r="X128" i="4" s="1"/>
  <c r="AA128" i="4" s="1"/>
  <c r="AD128" i="4" s="1"/>
  <c r="AG128" i="4" s="1"/>
  <c r="L112" i="4"/>
  <c r="O112" i="4" s="1"/>
  <c r="R112" i="4" s="1"/>
  <c r="U112" i="4" s="1"/>
  <c r="X112" i="4" s="1"/>
  <c r="AA112" i="4" s="1"/>
  <c r="AD112" i="4" s="1"/>
  <c r="AG112" i="4" s="1"/>
  <c r="L99" i="4"/>
  <c r="O99" i="4" s="1"/>
  <c r="R99" i="4" s="1"/>
  <c r="U99" i="4" s="1"/>
  <c r="X99" i="4" s="1"/>
  <c r="AA99" i="4" s="1"/>
  <c r="AD99" i="4" s="1"/>
  <c r="AG99" i="4" s="1"/>
  <c r="L140" i="4"/>
  <c r="O140" i="4" s="1"/>
  <c r="R140" i="4" s="1"/>
  <c r="U140" i="4" s="1"/>
  <c r="X140" i="4" s="1"/>
  <c r="AA140" i="4" s="1"/>
  <c r="AD140" i="4" s="1"/>
  <c r="AG140" i="4" s="1"/>
  <c r="L135" i="4"/>
  <c r="O135" i="4" s="1"/>
  <c r="R135" i="4" s="1"/>
  <c r="U135" i="4" s="1"/>
  <c r="X135" i="4" s="1"/>
  <c r="AA135" i="4" s="1"/>
  <c r="AD135" i="4" s="1"/>
  <c r="AG135" i="4" s="1"/>
  <c r="L131" i="4"/>
  <c r="O131" i="4" s="1"/>
  <c r="R131" i="4" s="1"/>
  <c r="U131" i="4" s="1"/>
  <c r="X131" i="4" s="1"/>
  <c r="AA131" i="4" s="1"/>
  <c r="AD131" i="4" s="1"/>
  <c r="AG131" i="4" s="1"/>
  <c r="L155" i="4"/>
  <c r="O155" i="4" s="1"/>
  <c r="R155" i="4" s="1"/>
  <c r="U155" i="4" s="1"/>
  <c r="X155" i="4" s="1"/>
  <c r="AA155" i="4" s="1"/>
  <c r="AD155" i="4" s="1"/>
  <c r="AG155" i="4" s="1"/>
  <c r="L125" i="4"/>
  <c r="O125" i="4" s="1"/>
  <c r="R125" i="4" s="1"/>
  <c r="U125" i="4" s="1"/>
  <c r="X125" i="4" s="1"/>
  <c r="AA125" i="4" s="1"/>
  <c r="AD125" i="4" s="1"/>
  <c r="AG125" i="4" s="1"/>
  <c r="L13" i="4"/>
  <c r="O13" i="4" s="1"/>
  <c r="R13" i="4" s="1"/>
  <c r="U13" i="4" s="1"/>
  <c r="X13" i="4" s="1"/>
  <c r="AA13" i="4" s="1"/>
  <c r="AD13" i="4" s="1"/>
  <c r="AG13" i="4" s="1"/>
  <c r="L156" i="4"/>
  <c r="O156" i="4" s="1"/>
  <c r="R156" i="4" s="1"/>
  <c r="U156" i="4" s="1"/>
  <c r="X156" i="4" s="1"/>
  <c r="AA156" i="4" s="1"/>
  <c r="AD156" i="4" s="1"/>
  <c r="AG156" i="4" s="1"/>
  <c r="L177" i="4"/>
  <c r="O177" i="4" s="1"/>
  <c r="R177" i="4" s="1"/>
  <c r="U177" i="4" s="1"/>
  <c r="X177" i="4" s="1"/>
  <c r="AA177" i="4" s="1"/>
  <c r="AD177" i="4" s="1"/>
  <c r="AG177" i="4" s="1"/>
  <c r="L94" i="4"/>
  <c r="O94" i="4" s="1"/>
  <c r="R94" i="4" s="1"/>
  <c r="U94" i="4" s="1"/>
  <c r="X94" i="4" s="1"/>
  <c r="AA94" i="4" s="1"/>
  <c r="AD94" i="4" s="1"/>
  <c r="AG94" i="4" s="1"/>
  <c r="L62" i="4"/>
  <c r="O62" i="4" s="1"/>
  <c r="R62" i="4" s="1"/>
  <c r="U62" i="4" s="1"/>
  <c r="X62" i="4" s="1"/>
  <c r="AA62" i="4" s="1"/>
  <c r="AD62" i="4" s="1"/>
  <c r="AG62" i="4" s="1"/>
  <c r="L141" i="4"/>
  <c r="O141" i="4" s="1"/>
  <c r="R141" i="4" s="1"/>
  <c r="U141" i="4" s="1"/>
  <c r="X141" i="4" s="1"/>
  <c r="AA141" i="4" s="1"/>
  <c r="AD141" i="4" s="1"/>
  <c r="AG141" i="4" s="1"/>
  <c r="L54" i="4"/>
  <c r="O54" i="4" s="1"/>
  <c r="R54" i="4" s="1"/>
  <c r="U54" i="4" s="1"/>
  <c r="X54" i="4" s="1"/>
  <c r="AA54" i="4" s="1"/>
  <c r="AD54" i="4" s="1"/>
  <c r="AG54" i="4" s="1"/>
  <c r="L178" i="4"/>
  <c r="O178" i="4" s="1"/>
  <c r="R178" i="4" s="1"/>
  <c r="U178" i="4" s="1"/>
  <c r="X178" i="4" s="1"/>
  <c r="AA178" i="4" s="1"/>
  <c r="AD178" i="4" s="1"/>
  <c r="AG178" i="4" s="1"/>
  <c r="L24" i="4"/>
  <c r="O24" i="4" s="1"/>
  <c r="R24" i="4" s="1"/>
  <c r="U24" i="4" s="1"/>
  <c r="X24" i="4" s="1"/>
  <c r="AA24" i="4" s="1"/>
  <c r="AD24" i="4" s="1"/>
  <c r="AG24" i="4" s="1"/>
  <c r="G198" i="51"/>
  <c r="G199" i="51"/>
  <c r="L3" i="51"/>
  <c r="AK6" i="4" s="1"/>
  <c r="AE185" i="4"/>
  <c r="G200" i="49"/>
  <c r="G199" i="48"/>
  <c r="L3" i="48"/>
  <c r="G198" i="48"/>
  <c r="L169" i="4"/>
  <c r="O169" i="4" s="1"/>
  <c r="R169" i="4" s="1"/>
  <c r="U169" i="4" s="1"/>
  <c r="X169" i="4" s="1"/>
  <c r="AA169" i="4" s="1"/>
  <c r="AD169" i="4" s="1"/>
  <c r="AG169" i="4" s="1"/>
  <c r="L50" i="4"/>
  <c r="O50" i="4" s="1"/>
  <c r="R50" i="4" s="1"/>
  <c r="U50" i="4" s="1"/>
  <c r="X50" i="4" s="1"/>
  <c r="AA50" i="4" s="1"/>
  <c r="AD50" i="4" s="1"/>
  <c r="AG50" i="4" s="1"/>
  <c r="L143" i="4"/>
  <c r="O143" i="4" s="1"/>
  <c r="R143" i="4" s="1"/>
  <c r="U143" i="4" s="1"/>
  <c r="X143" i="4" s="1"/>
  <c r="AA143" i="4" s="1"/>
  <c r="AD143" i="4" s="1"/>
  <c r="AG143" i="4" s="1"/>
  <c r="O154" i="4"/>
  <c r="R154" i="4" s="1"/>
  <c r="U154" i="4" s="1"/>
  <c r="X154" i="4" s="1"/>
  <c r="AA154" i="4" s="1"/>
  <c r="AD154" i="4" s="1"/>
  <c r="AG154" i="4" s="1"/>
  <c r="O98" i="4"/>
  <c r="R98" i="4" s="1"/>
  <c r="U98" i="4" s="1"/>
  <c r="X98" i="4" s="1"/>
  <c r="AA98" i="4" s="1"/>
  <c r="AD98" i="4" s="1"/>
  <c r="AG98" i="4" s="1"/>
  <c r="L157" i="4"/>
  <c r="O157" i="4" s="1"/>
  <c r="R157" i="4" s="1"/>
  <c r="U157" i="4" s="1"/>
  <c r="X157" i="4" s="1"/>
  <c r="AA157" i="4" s="1"/>
  <c r="AD157" i="4" s="1"/>
  <c r="AG157" i="4" s="1"/>
  <c r="L153" i="4"/>
  <c r="O153" i="4" s="1"/>
  <c r="R153" i="4" s="1"/>
  <c r="U153" i="4" s="1"/>
  <c r="X153" i="4" s="1"/>
  <c r="AA153" i="4" s="1"/>
  <c r="AD153" i="4" s="1"/>
  <c r="AG153" i="4" s="1"/>
  <c r="U31" i="4"/>
  <c r="X31" i="4" s="1"/>
  <c r="AA31" i="4" s="1"/>
  <c r="AD31" i="4" s="1"/>
  <c r="AG31" i="4" s="1"/>
  <c r="G199" i="44"/>
  <c r="G198" i="44"/>
  <c r="L3" i="44"/>
  <c r="S6" i="4" s="1"/>
  <c r="L134" i="4"/>
  <c r="O134" i="4" s="1"/>
  <c r="R134" i="4" s="1"/>
  <c r="U134" i="4" s="1"/>
  <c r="X134" i="4" s="1"/>
  <c r="AA134" i="4" s="1"/>
  <c r="AD134" i="4" s="1"/>
  <c r="AG134" i="4" s="1"/>
  <c r="L185" i="4"/>
  <c r="O185" i="4" s="1"/>
  <c r="R185" i="4" s="1"/>
  <c r="U185" i="4" s="1"/>
  <c r="X185" i="4" s="1"/>
  <c r="AA185" i="4" s="1"/>
  <c r="AD185" i="4" s="1"/>
  <c r="L121" i="4"/>
  <c r="O121" i="4" s="1"/>
  <c r="R121" i="4" s="1"/>
  <c r="U121" i="4" s="1"/>
  <c r="X121" i="4" s="1"/>
  <c r="AA121" i="4" s="1"/>
  <c r="AD121" i="4" s="1"/>
  <c r="AG121" i="4" s="1"/>
  <c r="L166" i="4"/>
  <c r="O166" i="4" s="1"/>
  <c r="R166" i="4" s="1"/>
  <c r="U166" i="4" s="1"/>
  <c r="X166" i="4" s="1"/>
  <c r="AA166" i="4" s="1"/>
  <c r="AD166" i="4" s="1"/>
  <c r="AG166" i="4" s="1"/>
  <c r="L164" i="4"/>
  <c r="O164" i="4" s="1"/>
  <c r="R164" i="4" s="1"/>
  <c r="U164" i="4" s="1"/>
  <c r="X164" i="4" s="1"/>
  <c r="AA164" i="4" s="1"/>
  <c r="AD164" i="4" s="1"/>
  <c r="AG164" i="4" s="1"/>
  <c r="L102" i="4"/>
  <c r="O102" i="4" s="1"/>
  <c r="R102" i="4" s="1"/>
  <c r="U102" i="4" s="1"/>
  <c r="X102" i="4" s="1"/>
  <c r="AA102" i="4" s="1"/>
  <c r="AD102" i="4" s="1"/>
  <c r="AG102" i="4" s="1"/>
  <c r="L109" i="4"/>
  <c r="O109" i="4" s="1"/>
  <c r="R109" i="4" s="1"/>
  <c r="U109" i="4" s="1"/>
  <c r="X109" i="4" s="1"/>
  <c r="AA109" i="4" s="1"/>
  <c r="AD109" i="4" s="1"/>
  <c r="AG109" i="4" s="1"/>
  <c r="L33" i="4"/>
  <c r="O33" i="4" s="1"/>
  <c r="R33" i="4" s="1"/>
  <c r="U33" i="4" s="1"/>
  <c r="X33" i="4" s="1"/>
  <c r="AA33" i="4" s="1"/>
  <c r="AD33" i="4" s="1"/>
  <c r="AG33" i="4" s="1"/>
  <c r="L108" i="4"/>
  <c r="O108" i="4" s="1"/>
  <c r="R108" i="4" s="1"/>
  <c r="U108" i="4" s="1"/>
  <c r="X108" i="4" s="1"/>
  <c r="AA108" i="4" s="1"/>
  <c r="AD108" i="4" s="1"/>
  <c r="AG108" i="4" s="1"/>
  <c r="L170" i="4"/>
  <c r="O170" i="4" s="1"/>
  <c r="R170" i="4" s="1"/>
  <c r="U170" i="4" s="1"/>
  <c r="X170" i="4" s="1"/>
  <c r="AA170" i="4" s="1"/>
  <c r="AD170" i="4" s="1"/>
  <c r="AG170" i="4" s="1"/>
  <c r="L69" i="4"/>
  <c r="O69" i="4" s="1"/>
  <c r="R69" i="4" s="1"/>
  <c r="U69" i="4" s="1"/>
  <c r="X69" i="4" s="1"/>
  <c r="AA69" i="4" s="1"/>
  <c r="AD69" i="4" s="1"/>
  <c r="AG69" i="4" s="1"/>
  <c r="L79" i="4"/>
  <c r="O79" i="4" s="1"/>
  <c r="R79" i="4" s="1"/>
  <c r="U79" i="4" s="1"/>
  <c r="X79" i="4" s="1"/>
  <c r="AA79" i="4" s="1"/>
  <c r="AD79" i="4" s="1"/>
  <c r="AG79" i="4" s="1"/>
  <c r="O15" i="4"/>
  <c r="R15" i="4" s="1"/>
  <c r="U15" i="4" s="1"/>
  <c r="X15" i="4" s="1"/>
  <c r="AA15" i="4" s="1"/>
  <c r="AD15" i="4" s="1"/>
  <c r="AG15" i="4" s="1"/>
  <c r="O175" i="4"/>
  <c r="R175" i="4" s="1"/>
  <c r="U175" i="4" s="1"/>
  <c r="X175" i="4" s="1"/>
  <c r="AA175" i="4" s="1"/>
  <c r="AD175" i="4" s="1"/>
  <c r="AG175" i="4" s="1"/>
  <c r="O88" i="4"/>
  <c r="R88" i="4" s="1"/>
  <c r="U88" i="4" s="1"/>
  <c r="X88" i="4" s="1"/>
  <c r="AA88" i="4" s="1"/>
  <c r="AD88" i="4" s="1"/>
  <c r="AG88" i="4" s="1"/>
  <c r="O174" i="4"/>
  <c r="R174" i="4" s="1"/>
  <c r="U174" i="4" s="1"/>
  <c r="X174" i="4" s="1"/>
  <c r="AA174" i="4" s="1"/>
  <c r="AD174" i="4" s="1"/>
  <c r="AG174" i="4" s="1"/>
  <c r="O142" i="4"/>
  <c r="R142" i="4" s="1"/>
  <c r="U142" i="4" s="1"/>
  <c r="X142" i="4" s="1"/>
  <c r="AA142" i="4" s="1"/>
  <c r="AD142" i="4" s="1"/>
  <c r="AG142" i="4" s="1"/>
  <c r="O87" i="4"/>
  <c r="R87" i="4" s="1"/>
  <c r="U87" i="4" s="1"/>
  <c r="X87" i="4" s="1"/>
  <c r="AA87" i="4" s="1"/>
  <c r="AD87" i="4" s="1"/>
  <c r="AG87" i="4" s="1"/>
  <c r="O124" i="4"/>
  <c r="R124" i="4" s="1"/>
  <c r="U124" i="4" s="1"/>
  <c r="X124" i="4" s="1"/>
  <c r="AA124" i="4" s="1"/>
  <c r="AD124" i="4" s="1"/>
  <c r="AG124" i="4" s="1"/>
  <c r="O115" i="4"/>
  <c r="R115" i="4" s="1"/>
  <c r="U115" i="4" s="1"/>
  <c r="X115" i="4" s="1"/>
  <c r="AA115" i="4" s="1"/>
  <c r="AD115" i="4" s="1"/>
  <c r="AG115" i="4" s="1"/>
  <c r="O151" i="4"/>
  <c r="R151" i="4" s="1"/>
  <c r="U151" i="4" s="1"/>
  <c r="X151" i="4" s="1"/>
  <c r="AA151" i="4" s="1"/>
  <c r="AD151" i="4" s="1"/>
  <c r="AG151" i="4" s="1"/>
  <c r="G199" i="42"/>
  <c r="G198" i="42"/>
  <c r="L3" i="42"/>
  <c r="M6" i="4" s="1"/>
  <c r="O22" i="4"/>
  <c r="R22" i="4" s="1"/>
  <c r="U22" i="4" s="1"/>
  <c r="X22" i="4" s="1"/>
  <c r="AA22" i="4" s="1"/>
  <c r="AD22" i="4" s="1"/>
  <c r="AG22" i="4" s="1"/>
  <c r="L66" i="4"/>
  <c r="O66" i="4" s="1"/>
  <c r="R66" i="4" s="1"/>
  <c r="U66" i="4" s="1"/>
  <c r="X66" i="4" s="1"/>
  <c r="AA66" i="4" s="1"/>
  <c r="AD66" i="4" s="1"/>
  <c r="AG66" i="4" s="1"/>
  <c r="L52" i="4"/>
  <c r="O52" i="4" s="1"/>
  <c r="R52" i="4" s="1"/>
  <c r="U52" i="4" s="1"/>
  <c r="X52" i="4" s="1"/>
  <c r="AA52" i="4" s="1"/>
  <c r="AD52" i="4" s="1"/>
  <c r="AG52" i="4" s="1"/>
  <c r="L46" i="4"/>
  <c r="O46" i="4" s="1"/>
  <c r="R46" i="4" s="1"/>
  <c r="U46" i="4" s="1"/>
  <c r="X46" i="4" s="1"/>
  <c r="AA46" i="4" s="1"/>
  <c r="AD46" i="4" s="1"/>
  <c r="AG46" i="4" s="1"/>
  <c r="L10" i="4"/>
  <c r="O10" i="4" s="1"/>
  <c r="R10" i="4" s="1"/>
  <c r="U10" i="4" s="1"/>
  <c r="X10" i="4" s="1"/>
  <c r="AA10" i="4" s="1"/>
  <c r="AD10" i="4" s="1"/>
  <c r="AG10" i="4" s="1"/>
  <c r="L17" i="4"/>
  <c r="O17" i="4" s="1"/>
  <c r="R17" i="4" s="1"/>
  <c r="U17" i="4" s="1"/>
  <c r="X17" i="4" s="1"/>
  <c r="AA17" i="4" s="1"/>
  <c r="AD17" i="4" s="1"/>
  <c r="AG17" i="4" s="1"/>
  <c r="L92" i="4"/>
  <c r="O92" i="4" s="1"/>
  <c r="R92" i="4" s="1"/>
  <c r="U92" i="4" s="1"/>
  <c r="X92" i="4" s="1"/>
  <c r="AA92" i="4" s="1"/>
  <c r="AD92" i="4" s="1"/>
  <c r="AG92" i="4" s="1"/>
  <c r="L68" i="4"/>
  <c r="O68" i="4" s="1"/>
  <c r="R68" i="4" s="1"/>
  <c r="U68" i="4" s="1"/>
  <c r="X68" i="4" s="1"/>
  <c r="AA68" i="4" s="1"/>
  <c r="AD68" i="4" s="1"/>
  <c r="AG68" i="4" s="1"/>
  <c r="L130" i="4"/>
  <c r="O130" i="4" s="1"/>
  <c r="R130" i="4" s="1"/>
  <c r="U130" i="4" s="1"/>
  <c r="X130" i="4" s="1"/>
  <c r="AA130" i="4" s="1"/>
  <c r="AD130" i="4" s="1"/>
  <c r="AG130" i="4" s="1"/>
  <c r="L97" i="4"/>
  <c r="O97" i="4" s="1"/>
  <c r="R97" i="4" s="1"/>
  <c r="U97" i="4" s="1"/>
  <c r="X97" i="4" s="1"/>
  <c r="AA97" i="4" s="1"/>
  <c r="AD97" i="4" s="1"/>
  <c r="AG97" i="4" s="1"/>
  <c r="L95" i="4"/>
  <c r="O95" i="4" s="1"/>
  <c r="R95" i="4" s="1"/>
  <c r="U95" i="4" s="1"/>
  <c r="X95" i="4" s="1"/>
  <c r="AA95" i="4" s="1"/>
  <c r="AD95" i="4" s="1"/>
  <c r="AG95" i="4" s="1"/>
  <c r="L84" i="4"/>
  <c r="O84" i="4" s="1"/>
  <c r="R84" i="4" s="1"/>
  <c r="U84" i="4" s="1"/>
  <c r="X84" i="4" s="1"/>
  <c r="AA84" i="4" s="1"/>
  <c r="AD84" i="4" s="1"/>
  <c r="AG84" i="4" s="1"/>
  <c r="L12" i="4"/>
  <c r="O12" i="4" s="1"/>
  <c r="R12" i="4" s="1"/>
  <c r="U12" i="4" s="1"/>
  <c r="X12" i="4" s="1"/>
  <c r="AA12" i="4" s="1"/>
  <c r="AD12" i="4" s="1"/>
  <c r="AG12" i="4" s="1"/>
  <c r="L11" i="4"/>
  <c r="O11" i="4" s="1"/>
  <c r="R11" i="4" s="1"/>
  <c r="U11" i="4" s="1"/>
  <c r="X11" i="4" s="1"/>
  <c r="AA11" i="4" s="1"/>
  <c r="AD11" i="4" s="1"/>
  <c r="AG11" i="4" s="1"/>
  <c r="L55" i="4"/>
  <c r="O55" i="4" s="1"/>
  <c r="R55" i="4" s="1"/>
  <c r="U55" i="4" s="1"/>
  <c r="X55" i="4" s="1"/>
  <c r="AA55" i="4" s="1"/>
  <c r="AD55" i="4" s="1"/>
  <c r="AG55" i="4" s="1"/>
  <c r="L76" i="4"/>
  <c r="O76" i="4" s="1"/>
  <c r="R76" i="4" s="1"/>
  <c r="U76" i="4" s="1"/>
  <c r="X76" i="4" s="1"/>
  <c r="AA76" i="4" s="1"/>
  <c r="AD76" i="4" s="1"/>
  <c r="AG76" i="4" s="1"/>
  <c r="L148" i="4"/>
  <c r="O148" i="4" s="1"/>
  <c r="R148" i="4" s="1"/>
  <c r="U148" i="4" s="1"/>
  <c r="X148" i="4" s="1"/>
  <c r="AA148" i="4" s="1"/>
  <c r="AD148" i="4" s="1"/>
  <c r="AG148" i="4" s="1"/>
  <c r="L119" i="4"/>
  <c r="O119" i="4" s="1"/>
  <c r="R119" i="4" s="1"/>
  <c r="U119" i="4" s="1"/>
  <c r="X119" i="4" s="1"/>
  <c r="AA119" i="4" s="1"/>
  <c r="AD119" i="4" s="1"/>
  <c r="AG119" i="4" s="1"/>
  <c r="L163" i="4"/>
  <c r="O163" i="4" s="1"/>
  <c r="R163" i="4" s="1"/>
  <c r="U163" i="4" s="1"/>
  <c r="X163" i="4" s="1"/>
  <c r="AA163" i="4" s="1"/>
  <c r="AD163" i="4" s="1"/>
  <c r="AG163" i="4" s="1"/>
  <c r="L38" i="4"/>
  <c r="O38" i="4" s="1"/>
  <c r="R38" i="4" s="1"/>
  <c r="U38" i="4" s="1"/>
  <c r="X38" i="4" s="1"/>
  <c r="AA38" i="4" s="1"/>
  <c r="AD38" i="4" s="1"/>
  <c r="AG38" i="4" s="1"/>
  <c r="L20" i="4"/>
  <c r="O20" i="4" s="1"/>
  <c r="R20" i="4" s="1"/>
  <c r="U20" i="4" s="1"/>
  <c r="X20" i="4" s="1"/>
  <c r="AA20" i="4" s="1"/>
  <c r="AD20" i="4" s="1"/>
  <c r="AG20" i="4" s="1"/>
  <c r="L71" i="4"/>
  <c r="O71" i="4" s="1"/>
  <c r="R71" i="4" s="1"/>
  <c r="U71" i="4" s="1"/>
  <c r="X71" i="4" s="1"/>
  <c r="AA71" i="4" s="1"/>
  <c r="AD71" i="4" s="1"/>
  <c r="AG71" i="4" s="1"/>
  <c r="L18" i="4"/>
  <c r="O18" i="4" s="1"/>
  <c r="R18" i="4" s="1"/>
  <c r="U18" i="4" s="1"/>
  <c r="X18" i="4" s="1"/>
  <c r="AA18" i="4" s="1"/>
  <c r="AD18" i="4" s="1"/>
  <c r="AG18" i="4" s="1"/>
  <c r="L30" i="4"/>
  <c r="O30" i="4" s="1"/>
  <c r="R30" i="4" s="1"/>
  <c r="U30" i="4" s="1"/>
  <c r="X30" i="4" s="1"/>
  <c r="AA30" i="4" s="1"/>
  <c r="AD30" i="4" s="1"/>
  <c r="AG30" i="4" s="1"/>
  <c r="L104" i="4"/>
  <c r="O104" i="4" s="1"/>
  <c r="R104" i="4" s="1"/>
  <c r="U104" i="4" s="1"/>
  <c r="X104" i="4" s="1"/>
  <c r="AA104" i="4" s="1"/>
  <c r="AD104" i="4" s="1"/>
  <c r="AG104" i="4" s="1"/>
  <c r="L9" i="4"/>
  <c r="O9" i="4" s="1"/>
  <c r="R9" i="4" s="1"/>
  <c r="U9" i="4" s="1"/>
  <c r="X9" i="4" s="1"/>
  <c r="AA9" i="4" s="1"/>
  <c r="AD9" i="4" s="1"/>
  <c r="AG9" i="4" s="1"/>
  <c r="L67" i="4"/>
  <c r="O67" i="4" s="1"/>
  <c r="R67" i="4" s="1"/>
  <c r="U67" i="4" s="1"/>
  <c r="X67" i="4" s="1"/>
  <c r="AA67" i="4" s="1"/>
  <c r="AD67" i="4" s="1"/>
  <c r="AG67" i="4" s="1"/>
  <c r="L23" i="4"/>
  <c r="O23" i="4" s="1"/>
  <c r="R23" i="4" s="1"/>
  <c r="U23" i="4" s="1"/>
  <c r="X23" i="4" s="1"/>
  <c r="AA23" i="4" s="1"/>
  <c r="AD23" i="4" s="1"/>
  <c r="AG23" i="4" s="1"/>
  <c r="L27" i="4"/>
  <c r="O27" i="4" s="1"/>
  <c r="R27" i="4" s="1"/>
  <c r="U27" i="4" s="1"/>
  <c r="X27" i="4" s="1"/>
  <c r="AA27" i="4" s="1"/>
  <c r="AD27" i="4" s="1"/>
  <c r="AG27" i="4" s="1"/>
  <c r="L110" i="4"/>
  <c r="O110" i="4" s="1"/>
  <c r="R110" i="4" s="1"/>
  <c r="U110" i="4" s="1"/>
  <c r="X110" i="4" s="1"/>
  <c r="AA110" i="4" s="1"/>
  <c r="AD110" i="4" s="1"/>
  <c r="AG110" i="4" s="1"/>
  <c r="L47" i="4"/>
  <c r="O47" i="4" s="1"/>
  <c r="R47" i="4" s="1"/>
  <c r="U47" i="4" s="1"/>
  <c r="X47" i="4" s="1"/>
  <c r="AA47" i="4" s="1"/>
  <c r="AD47" i="4" s="1"/>
  <c r="AG47" i="4" s="1"/>
  <c r="L116" i="4"/>
  <c r="O116" i="4" s="1"/>
  <c r="R116" i="4" s="1"/>
  <c r="U116" i="4" s="1"/>
  <c r="X116" i="4" s="1"/>
  <c r="AA116" i="4" s="1"/>
  <c r="AD116" i="4" s="1"/>
  <c r="AG116" i="4" s="1"/>
  <c r="L57" i="4"/>
  <c r="O57" i="4" s="1"/>
  <c r="R57" i="4" s="1"/>
  <c r="U57" i="4" s="1"/>
  <c r="X57" i="4" s="1"/>
  <c r="AA57" i="4" s="1"/>
  <c r="AD57" i="4" s="1"/>
  <c r="AG57" i="4" s="1"/>
  <c r="L45" i="4"/>
  <c r="O45" i="4" s="1"/>
  <c r="R45" i="4" s="1"/>
  <c r="U45" i="4" s="1"/>
  <c r="X45" i="4" s="1"/>
  <c r="AA45" i="4" s="1"/>
  <c r="AD45" i="4" s="1"/>
  <c r="AG45" i="4" s="1"/>
  <c r="L86" i="4"/>
  <c r="O86" i="4" s="1"/>
  <c r="R86" i="4" s="1"/>
  <c r="U86" i="4" s="1"/>
  <c r="X86" i="4" s="1"/>
  <c r="AA86" i="4" s="1"/>
  <c r="AD86" i="4" s="1"/>
  <c r="AG86" i="4" s="1"/>
  <c r="L107" i="4"/>
  <c r="O107" i="4" s="1"/>
  <c r="R107" i="4" s="1"/>
  <c r="U107" i="4" s="1"/>
  <c r="X107" i="4" s="1"/>
  <c r="AA107" i="4" s="1"/>
  <c r="AD107" i="4" s="1"/>
  <c r="AG107" i="4" s="1"/>
  <c r="L19" i="4"/>
  <c r="O19" i="4" s="1"/>
  <c r="R19" i="4" s="1"/>
  <c r="U19" i="4" s="1"/>
  <c r="X19" i="4" s="1"/>
  <c r="AA19" i="4" s="1"/>
  <c r="AD19" i="4" s="1"/>
  <c r="AG19" i="4" s="1"/>
  <c r="L139" i="4"/>
  <c r="O139" i="4" s="1"/>
  <c r="R139" i="4" s="1"/>
  <c r="U139" i="4" s="1"/>
  <c r="X139" i="4" s="1"/>
  <c r="AA139" i="4" s="1"/>
  <c r="AD139" i="4" s="1"/>
  <c r="AG139" i="4" s="1"/>
  <c r="L36" i="4"/>
  <c r="O36" i="4" s="1"/>
  <c r="R36" i="4" s="1"/>
  <c r="U36" i="4" s="1"/>
  <c r="X36" i="4" s="1"/>
  <c r="AA36" i="4" s="1"/>
  <c r="AD36" i="4" s="1"/>
  <c r="AG36" i="4" s="1"/>
  <c r="L34" i="4"/>
  <c r="O34" i="4" s="1"/>
  <c r="R34" i="4" s="1"/>
  <c r="U34" i="4" s="1"/>
  <c r="X34" i="4" s="1"/>
  <c r="AA34" i="4" s="1"/>
  <c r="AD34" i="4" s="1"/>
  <c r="AG34" i="4" s="1"/>
  <c r="L162" i="4"/>
  <c r="O162" i="4" s="1"/>
  <c r="R162" i="4" s="1"/>
  <c r="U162" i="4" s="1"/>
  <c r="X162" i="4" s="1"/>
  <c r="AA162" i="4" s="1"/>
  <c r="AD162" i="4" s="1"/>
  <c r="AG162" i="4" s="1"/>
  <c r="L137" i="4"/>
  <c r="O137" i="4" s="1"/>
  <c r="R137" i="4" s="1"/>
  <c r="U137" i="4" s="1"/>
  <c r="X137" i="4" s="1"/>
  <c r="AA137" i="4" s="1"/>
  <c r="AD137" i="4" s="1"/>
  <c r="AG137" i="4" s="1"/>
  <c r="L91" i="4"/>
  <c r="O91" i="4" s="1"/>
  <c r="R91" i="4" s="1"/>
  <c r="U91" i="4" s="1"/>
  <c r="X91" i="4" s="1"/>
  <c r="AA91" i="4" s="1"/>
  <c r="AD91" i="4" s="1"/>
  <c r="AG91" i="4" s="1"/>
  <c r="L61" i="4"/>
  <c r="O61" i="4" s="1"/>
  <c r="R61" i="4" s="1"/>
  <c r="U61" i="4" s="1"/>
  <c r="X61" i="4" s="1"/>
  <c r="AA61" i="4" s="1"/>
  <c r="AD61" i="4" s="1"/>
  <c r="AG61" i="4" s="1"/>
  <c r="L165" i="4"/>
  <c r="O165" i="4" s="1"/>
  <c r="R165" i="4" s="1"/>
  <c r="U165" i="4" s="1"/>
  <c r="X165" i="4" s="1"/>
  <c r="AA165" i="4" s="1"/>
  <c r="AD165" i="4" s="1"/>
  <c r="AG165" i="4" s="1"/>
  <c r="L44" i="4"/>
  <c r="O44" i="4" s="1"/>
  <c r="R44" i="4" s="1"/>
  <c r="U44" i="4" s="1"/>
  <c r="X44" i="4" s="1"/>
  <c r="AA44" i="4" s="1"/>
  <c r="AD44" i="4" s="1"/>
  <c r="AG44" i="4" s="1"/>
  <c r="L29" i="4"/>
  <c r="O29" i="4" s="1"/>
  <c r="R29" i="4" s="1"/>
  <c r="U29" i="4" s="1"/>
  <c r="X29" i="4" s="1"/>
  <c r="AA29" i="4" s="1"/>
  <c r="AD29" i="4" s="1"/>
  <c r="AG29" i="4" s="1"/>
  <c r="L103" i="4"/>
  <c r="O103" i="4" s="1"/>
  <c r="R103" i="4" s="1"/>
  <c r="U103" i="4" s="1"/>
  <c r="X103" i="4" s="1"/>
  <c r="AA103" i="4" s="1"/>
  <c r="AD103" i="4" s="1"/>
  <c r="AG103" i="4" s="1"/>
  <c r="L16" i="4"/>
  <c r="O16" i="4" s="1"/>
  <c r="R16" i="4" s="1"/>
  <c r="U16" i="4" s="1"/>
  <c r="X16" i="4" s="1"/>
  <c r="AA16" i="4" s="1"/>
  <c r="AD16" i="4" s="1"/>
  <c r="AG16" i="4" s="1"/>
  <c r="L39" i="4"/>
  <c r="O39" i="4" s="1"/>
  <c r="R39" i="4" s="1"/>
  <c r="U39" i="4" s="1"/>
  <c r="X39" i="4" s="1"/>
  <c r="AA39" i="4" s="1"/>
  <c r="AD39" i="4" s="1"/>
  <c r="AG39" i="4" s="1"/>
  <c r="L25" i="4"/>
  <c r="O25" i="4" s="1"/>
  <c r="R25" i="4" s="1"/>
  <c r="U25" i="4" s="1"/>
  <c r="X25" i="4" s="1"/>
  <c r="AA25" i="4" s="1"/>
  <c r="AD25" i="4" s="1"/>
  <c r="AG25" i="4" s="1"/>
  <c r="L152" i="4"/>
  <c r="O152" i="4" s="1"/>
  <c r="R152" i="4" s="1"/>
  <c r="U152" i="4" s="1"/>
  <c r="X152" i="4" s="1"/>
  <c r="AA152" i="4" s="1"/>
  <c r="AD152" i="4" s="1"/>
  <c r="AG152" i="4" s="1"/>
  <c r="L159" i="4"/>
  <c r="O159" i="4" s="1"/>
  <c r="R159" i="4" s="1"/>
  <c r="U159" i="4" s="1"/>
  <c r="X159" i="4" s="1"/>
  <c r="AA159" i="4" s="1"/>
  <c r="AD159" i="4" s="1"/>
  <c r="AG159" i="4" s="1"/>
  <c r="L80" i="4"/>
  <c r="O80" i="4" s="1"/>
  <c r="R80" i="4" s="1"/>
  <c r="U80" i="4" s="1"/>
  <c r="X80" i="4" s="1"/>
  <c r="AA80" i="4" s="1"/>
  <c r="AD80" i="4" s="1"/>
  <c r="AG80" i="4" s="1"/>
  <c r="L111" i="4"/>
  <c r="O111" i="4" s="1"/>
  <c r="R111" i="4" s="1"/>
  <c r="U111" i="4" s="1"/>
  <c r="X111" i="4" s="1"/>
  <c r="AA111" i="4" s="1"/>
  <c r="AD111" i="4" s="1"/>
  <c r="AG111" i="4" s="1"/>
  <c r="L176" i="4"/>
  <c r="O176" i="4" s="1"/>
  <c r="R176" i="4" s="1"/>
  <c r="U176" i="4" s="1"/>
  <c r="X176" i="4" s="1"/>
  <c r="AA176" i="4" s="1"/>
  <c r="AD176" i="4" s="1"/>
  <c r="AG176" i="4" s="1"/>
  <c r="L8" i="4"/>
  <c r="O8" i="4" s="1"/>
  <c r="R8" i="4" s="1"/>
  <c r="U8" i="4" s="1"/>
  <c r="X8" i="4" s="1"/>
  <c r="AA8" i="4" s="1"/>
  <c r="AD8" i="4" s="1"/>
  <c r="AG8" i="4" s="1"/>
  <c r="L149" i="4"/>
  <c r="O149" i="4" s="1"/>
  <c r="R149" i="4" s="1"/>
  <c r="U149" i="4" s="1"/>
  <c r="X149" i="4" s="1"/>
  <c r="AA149" i="4" s="1"/>
  <c r="AD149" i="4" s="1"/>
  <c r="AG149" i="4" s="1"/>
  <c r="G199" i="41"/>
  <c r="G198" i="41"/>
  <c r="L3" i="41"/>
  <c r="J6" i="4" s="1"/>
  <c r="L168" i="4"/>
  <c r="O168" i="4" s="1"/>
  <c r="R168" i="4" s="1"/>
  <c r="U168" i="4" s="1"/>
  <c r="X168" i="4" s="1"/>
  <c r="AA168" i="4" s="1"/>
  <c r="AD168" i="4" s="1"/>
  <c r="AG168" i="4" s="1"/>
  <c r="L129" i="4"/>
  <c r="O129" i="4" s="1"/>
  <c r="R129" i="4" s="1"/>
  <c r="U129" i="4" s="1"/>
  <c r="X129" i="4" s="1"/>
  <c r="AA129" i="4" s="1"/>
  <c r="AD129" i="4" s="1"/>
  <c r="AG129" i="4" s="1"/>
  <c r="L120" i="4"/>
  <c r="O120" i="4" s="1"/>
  <c r="R120" i="4" s="1"/>
  <c r="U120" i="4" s="1"/>
  <c r="X120" i="4" s="1"/>
  <c r="AA120" i="4" s="1"/>
  <c r="AD120" i="4" s="1"/>
  <c r="AG120" i="4" s="1"/>
  <c r="L136" i="4"/>
  <c r="O136" i="4" s="1"/>
  <c r="R136" i="4" s="1"/>
  <c r="U136" i="4" s="1"/>
  <c r="X136" i="4" s="1"/>
  <c r="AA136" i="4" s="1"/>
  <c r="AD136" i="4" s="1"/>
  <c r="AG136" i="4" s="1"/>
  <c r="L105" i="4"/>
  <c r="O105" i="4" s="1"/>
  <c r="R105" i="4" s="1"/>
  <c r="U105" i="4" s="1"/>
  <c r="X105" i="4" s="1"/>
  <c r="AA105" i="4" s="1"/>
  <c r="AD105" i="4" s="1"/>
  <c r="AG105" i="4" s="1"/>
  <c r="L35" i="4"/>
  <c r="O35" i="4" s="1"/>
  <c r="R35" i="4" s="1"/>
  <c r="U35" i="4" s="1"/>
  <c r="X35" i="4" s="1"/>
  <c r="AA35" i="4" s="1"/>
  <c r="AD35" i="4" s="1"/>
  <c r="AG35" i="4" s="1"/>
  <c r="L123" i="4"/>
  <c r="O123" i="4" s="1"/>
  <c r="R123" i="4" s="1"/>
  <c r="U123" i="4" s="1"/>
  <c r="X123" i="4" s="1"/>
  <c r="AA123" i="4" s="1"/>
  <c r="AD123" i="4" s="1"/>
  <c r="AG123" i="4" s="1"/>
  <c r="L41" i="4"/>
  <c r="O41" i="4" s="1"/>
  <c r="R41" i="4" s="1"/>
  <c r="U41" i="4" s="1"/>
  <c r="X41" i="4" s="1"/>
  <c r="AA41" i="4" s="1"/>
  <c r="AD41" i="4" s="1"/>
  <c r="AG41" i="4" s="1"/>
  <c r="L127" i="4"/>
  <c r="O127" i="4" s="1"/>
  <c r="R127" i="4" s="1"/>
  <c r="U127" i="4" s="1"/>
  <c r="X127" i="4" s="1"/>
  <c r="AA127" i="4" s="1"/>
  <c r="AD127" i="4" s="1"/>
  <c r="AG127" i="4" s="1"/>
  <c r="L40" i="4"/>
  <c r="O40" i="4" s="1"/>
  <c r="R40" i="4" s="1"/>
  <c r="U40" i="4" s="1"/>
  <c r="X40" i="4" s="1"/>
  <c r="AA40" i="4" s="1"/>
  <c r="AD40" i="4" s="1"/>
  <c r="AG40" i="4" s="1"/>
  <c r="L75" i="4"/>
  <c r="O75" i="4" s="1"/>
  <c r="R75" i="4" s="1"/>
  <c r="U75" i="4" s="1"/>
  <c r="X75" i="4" s="1"/>
  <c r="AA75" i="4" s="1"/>
  <c r="AD75" i="4" s="1"/>
  <c r="AG75" i="4" s="1"/>
  <c r="L133" i="4"/>
  <c r="O133" i="4" s="1"/>
  <c r="R133" i="4" s="1"/>
  <c r="U133" i="4" s="1"/>
  <c r="X133" i="4" s="1"/>
  <c r="AA133" i="4" s="1"/>
  <c r="AD133" i="4" s="1"/>
  <c r="AG133" i="4" s="1"/>
  <c r="L59" i="4"/>
  <c r="O59" i="4" s="1"/>
  <c r="R59" i="4" s="1"/>
  <c r="U59" i="4" s="1"/>
  <c r="X59" i="4" s="1"/>
  <c r="AA59" i="4" s="1"/>
  <c r="AD59" i="4" s="1"/>
  <c r="AG59" i="4" s="1"/>
  <c r="L161" i="4"/>
  <c r="O161" i="4" s="1"/>
  <c r="R161" i="4" s="1"/>
  <c r="U161" i="4" s="1"/>
  <c r="X161" i="4" s="1"/>
  <c r="AA161" i="4" s="1"/>
  <c r="AD161" i="4" s="1"/>
  <c r="AG161" i="4" s="1"/>
  <c r="L82" i="4"/>
  <c r="O82" i="4" s="1"/>
  <c r="R82" i="4" s="1"/>
  <c r="U82" i="4" s="1"/>
  <c r="X82" i="4" s="1"/>
  <c r="AA82" i="4" s="1"/>
  <c r="AD82" i="4" s="1"/>
  <c r="AG82" i="4" s="1"/>
  <c r="L146" i="4"/>
  <c r="O146" i="4" s="1"/>
  <c r="R146" i="4" s="1"/>
  <c r="U146" i="4" s="1"/>
  <c r="X146" i="4" s="1"/>
  <c r="AA146" i="4" s="1"/>
  <c r="AD146" i="4" s="1"/>
  <c r="AG146" i="4" s="1"/>
  <c r="L180" i="4"/>
  <c r="O180" i="4" s="1"/>
  <c r="R180" i="4" s="1"/>
  <c r="U180" i="4" s="1"/>
  <c r="X180" i="4" s="1"/>
  <c r="AA180" i="4" s="1"/>
  <c r="AD180" i="4" s="1"/>
  <c r="AG180" i="4" s="1"/>
  <c r="L150" i="4"/>
  <c r="O150" i="4" s="1"/>
  <c r="R150" i="4" s="1"/>
  <c r="U150" i="4" s="1"/>
  <c r="X150" i="4" s="1"/>
  <c r="AA150" i="4" s="1"/>
  <c r="AD150" i="4" s="1"/>
  <c r="AG150" i="4" s="1"/>
  <c r="L85" i="4"/>
  <c r="O85" i="4" s="1"/>
  <c r="R85" i="4" s="1"/>
  <c r="U85" i="4" s="1"/>
  <c r="X85" i="4" s="1"/>
  <c r="AA85" i="4" s="1"/>
  <c r="AD85" i="4" s="1"/>
  <c r="AG85" i="4" s="1"/>
  <c r="G198" i="40"/>
  <c r="G199" i="40"/>
  <c r="L3" i="40"/>
  <c r="G6" i="4" s="1"/>
  <c r="I6" i="4" s="1"/>
  <c r="G199" i="45"/>
  <c r="G198" i="45"/>
  <c r="L3" i="45"/>
  <c r="L3" i="49" l="1"/>
  <c r="AE6" i="4" s="1"/>
  <c r="G199" i="49"/>
  <c r="I5" i="50"/>
  <c r="L5" i="50" s="1"/>
  <c r="AH8" i="4" s="1"/>
  <c r="AJ8" i="4" s="1"/>
  <c r="AM8" i="4" s="1"/>
  <c r="AN8" i="4" s="1"/>
  <c r="AP8" i="4" s="1"/>
  <c r="I7" i="50"/>
  <c r="L7" i="50" s="1"/>
  <c r="AH10" i="4" s="1"/>
  <c r="I9" i="50"/>
  <c r="L9" i="50" s="1"/>
  <c r="AH12" i="4" s="1"/>
  <c r="I11" i="50"/>
  <c r="L11" i="50" s="1"/>
  <c r="AH14" i="4" s="1"/>
  <c r="I13" i="50"/>
  <c r="L13" i="50" s="1"/>
  <c r="AH16" i="4" s="1"/>
  <c r="AJ16" i="4" s="1"/>
  <c r="AM16" i="4" s="1"/>
  <c r="AN16" i="4" s="1"/>
  <c r="I15" i="50"/>
  <c r="L15" i="50" s="1"/>
  <c r="AH18" i="4" s="1"/>
  <c r="AJ18" i="4" s="1"/>
  <c r="AM18" i="4" s="1"/>
  <c r="AN18" i="4" s="1"/>
  <c r="I17" i="50"/>
  <c r="L17" i="50" s="1"/>
  <c r="AH20" i="4" s="1"/>
  <c r="AJ20" i="4" s="1"/>
  <c r="AM20" i="4" s="1"/>
  <c r="AN20" i="4" s="1"/>
  <c r="I19" i="50"/>
  <c r="L19" i="50" s="1"/>
  <c r="AH22" i="4" s="1"/>
  <c r="AJ22" i="4" s="1"/>
  <c r="AM22" i="4" s="1"/>
  <c r="AN22" i="4" s="1"/>
  <c r="I21" i="50"/>
  <c r="L21" i="50" s="1"/>
  <c r="AH24" i="4" s="1"/>
  <c r="AJ24" i="4" s="1"/>
  <c r="AM24" i="4" s="1"/>
  <c r="AN24" i="4" s="1"/>
  <c r="I23" i="50"/>
  <c r="L23" i="50" s="1"/>
  <c r="AH26" i="4" s="1"/>
  <c r="I25" i="50"/>
  <c r="L25" i="50" s="1"/>
  <c r="AH28" i="4" s="1"/>
  <c r="I27" i="50"/>
  <c r="L27" i="50" s="1"/>
  <c r="AH30" i="4" s="1"/>
  <c r="I29" i="50"/>
  <c r="L29" i="50" s="1"/>
  <c r="AH32" i="4" s="1"/>
  <c r="AJ32" i="4" s="1"/>
  <c r="AM32" i="4" s="1"/>
  <c r="AN32" i="4" s="1"/>
  <c r="I31" i="50"/>
  <c r="L31" i="50" s="1"/>
  <c r="AH34" i="4" s="1"/>
  <c r="AJ34" i="4" s="1"/>
  <c r="AM34" i="4" s="1"/>
  <c r="AN34" i="4" s="1"/>
  <c r="I33" i="50"/>
  <c r="L33" i="50" s="1"/>
  <c r="AH36" i="4" s="1"/>
  <c r="AJ36" i="4" s="1"/>
  <c r="AM36" i="4" s="1"/>
  <c r="AN36" i="4" s="1"/>
  <c r="I35" i="50"/>
  <c r="L35" i="50" s="1"/>
  <c r="AH38" i="4" s="1"/>
  <c r="AJ38" i="4" s="1"/>
  <c r="AM38" i="4" s="1"/>
  <c r="AN38" i="4" s="1"/>
  <c r="I37" i="50"/>
  <c r="L37" i="50" s="1"/>
  <c r="AH40" i="4" s="1"/>
  <c r="I39" i="50"/>
  <c r="L39" i="50" s="1"/>
  <c r="AH42" i="4" s="1"/>
  <c r="I41" i="50"/>
  <c r="L41" i="50" s="1"/>
  <c r="AH44" i="4" s="1"/>
  <c r="I43" i="50"/>
  <c r="L43" i="50" s="1"/>
  <c r="AH46" i="4" s="1"/>
  <c r="I45" i="50"/>
  <c r="L45" i="50" s="1"/>
  <c r="AH48" i="4" s="1"/>
  <c r="AJ48" i="4" s="1"/>
  <c r="AM48" i="4" s="1"/>
  <c r="AN48" i="4" s="1"/>
  <c r="I47" i="50"/>
  <c r="L47" i="50" s="1"/>
  <c r="AH50" i="4" s="1"/>
  <c r="AJ50" i="4" s="1"/>
  <c r="AM50" i="4" s="1"/>
  <c r="AN50" i="4" s="1"/>
  <c r="I49" i="50"/>
  <c r="L49" i="50" s="1"/>
  <c r="AH52" i="4" s="1"/>
  <c r="AJ52" i="4" s="1"/>
  <c r="AM52" i="4" s="1"/>
  <c r="AN52" i="4" s="1"/>
  <c r="I51" i="50"/>
  <c r="L51" i="50" s="1"/>
  <c r="AH54" i="4" s="1"/>
  <c r="AJ54" i="4" s="1"/>
  <c r="AM54" i="4" s="1"/>
  <c r="AN54" i="4" s="1"/>
  <c r="I53" i="50"/>
  <c r="L53" i="50" s="1"/>
  <c r="AH56" i="4" s="1"/>
  <c r="I55" i="50"/>
  <c r="L55" i="50" s="1"/>
  <c r="AH58" i="4" s="1"/>
  <c r="I57" i="50"/>
  <c r="L57" i="50" s="1"/>
  <c r="AH60" i="4" s="1"/>
  <c r="I59" i="50"/>
  <c r="L59" i="50" s="1"/>
  <c r="AH62" i="4" s="1"/>
  <c r="I61" i="50"/>
  <c r="L61" i="50" s="1"/>
  <c r="AH64" i="4" s="1"/>
  <c r="I63" i="50"/>
  <c r="L63" i="50" s="1"/>
  <c r="AH66" i="4" s="1"/>
  <c r="AJ66" i="4" s="1"/>
  <c r="AM66" i="4" s="1"/>
  <c r="AN66" i="4" s="1"/>
  <c r="I65" i="50"/>
  <c r="L65" i="50" s="1"/>
  <c r="AH68" i="4" s="1"/>
  <c r="AJ68" i="4" s="1"/>
  <c r="AM68" i="4" s="1"/>
  <c r="AN68" i="4" s="1"/>
  <c r="I67" i="50"/>
  <c r="L67" i="50" s="1"/>
  <c r="AH70" i="4" s="1"/>
  <c r="AJ70" i="4" s="1"/>
  <c r="AM70" i="4" s="1"/>
  <c r="AN70" i="4" s="1"/>
  <c r="AP70" i="4" s="1"/>
  <c r="I69" i="50"/>
  <c r="L69" i="50" s="1"/>
  <c r="AH72" i="4" s="1"/>
  <c r="I71" i="50"/>
  <c r="L71" i="50" s="1"/>
  <c r="AH74" i="4" s="1"/>
  <c r="AJ74" i="4" s="1"/>
  <c r="AM74" i="4" s="1"/>
  <c r="AN74" i="4" s="1"/>
  <c r="I73" i="50"/>
  <c r="L73" i="50" s="1"/>
  <c r="AH76" i="4" s="1"/>
  <c r="AJ76" i="4" s="1"/>
  <c r="AM76" i="4" s="1"/>
  <c r="AN76" i="4" s="1"/>
  <c r="I75" i="50"/>
  <c r="L75" i="50" s="1"/>
  <c r="AH78" i="4" s="1"/>
  <c r="AJ78" i="4" s="1"/>
  <c r="AM78" i="4" s="1"/>
  <c r="AN78" i="4" s="1"/>
  <c r="I77" i="50"/>
  <c r="L77" i="50" s="1"/>
  <c r="AH80" i="4" s="1"/>
  <c r="AJ80" i="4" s="1"/>
  <c r="AM80" i="4" s="1"/>
  <c r="AN80" i="4" s="1"/>
  <c r="AP80" i="4" s="1"/>
  <c r="I79" i="50"/>
  <c r="L79" i="50" s="1"/>
  <c r="AH82" i="4" s="1"/>
  <c r="AJ82" i="4" s="1"/>
  <c r="AM82" i="4" s="1"/>
  <c r="AN82" i="4" s="1"/>
  <c r="I81" i="50"/>
  <c r="L81" i="50" s="1"/>
  <c r="AH84" i="4" s="1"/>
  <c r="AJ84" i="4" s="1"/>
  <c r="AM84" i="4" s="1"/>
  <c r="AN84" i="4" s="1"/>
  <c r="I83" i="50"/>
  <c r="L83" i="50" s="1"/>
  <c r="AH86" i="4" s="1"/>
  <c r="AJ86" i="4" s="1"/>
  <c r="AM86" i="4" s="1"/>
  <c r="AN86" i="4" s="1"/>
  <c r="I85" i="50"/>
  <c r="L85" i="50" s="1"/>
  <c r="AH88" i="4" s="1"/>
  <c r="AJ88" i="4" s="1"/>
  <c r="AM88" i="4" s="1"/>
  <c r="AN88" i="4" s="1"/>
  <c r="I87" i="50"/>
  <c r="L87" i="50" s="1"/>
  <c r="AH90" i="4" s="1"/>
  <c r="AJ90" i="4" s="1"/>
  <c r="AM90" i="4" s="1"/>
  <c r="AN90" i="4" s="1"/>
  <c r="I89" i="50"/>
  <c r="L89" i="50" s="1"/>
  <c r="AH92" i="4" s="1"/>
  <c r="AJ92" i="4" s="1"/>
  <c r="AM92" i="4" s="1"/>
  <c r="AN92" i="4" s="1"/>
  <c r="I91" i="50"/>
  <c r="L91" i="50" s="1"/>
  <c r="AH94" i="4" s="1"/>
  <c r="I93" i="50"/>
  <c r="L93" i="50" s="1"/>
  <c r="AH96" i="4" s="1"/>
  <c r="AJ96" i="4" s="1"/>
  <c r="AM96" i="4" s="1"/>
  <c r="AN96" i="4" s="1"/>
  <c r="I95" i="50"/>
  <c r="L95" i="50" s="1"/>
  <c r="AH98" i="4" s="1"/>
  <c r="AJ98" i="4" s="1"/>
  <c r="AM98" i="4" s="1"/>
  <c r="AN98" i="4" s="1"/>
  <c r="I97" i="50"/>
  <c r="L97" i="50" s="1"/>
  <c r="AH100" i="4" s="1"/>
  <c r="AJ100" i="4" s="1"/>
  <c r="AM100" i="4" s="1"/>
  <c r="AN100" i="4" s="1"/>
  <c r="I99" i="50"/>
  <c r="L99" i="50" s="1"/>
  <c r="AH102" i="4" s="1"/>
  <c r="AJ102" i="4" s="1"/>
  <c r="AM102" i="4" s="1"/>
  <c r="AN102" i="4" s="1"/>
  <c r="I101" i="50"/>
  <c r="L101" i="50" s="1"/>
  <c r="AH104" i="4" s="1"/>
  <c r="AJ104" i="4" s="1"/>
  <c r="AM104" i="4" s="1"/>
  <c r="AN104" i="4" s="1"/>
  <c r="I103" i="50"/>
  <c r="L103" i="50" s="1"/>
  <c r="AH106" i="4" s="1"/>
  <c r="I105" i="50"/>
  <c r="L105" i="50" s="1"/>
  <c r="AH108" i="4" s="1"/>
  <c r="AJ108" i="4" s="1"/>
  <c r="AM108" i="4" s="1"/>
  <c r="AN108" i="4" s="1"/>
  <c r="I4" i="50"/>
  <c r="L4" i="50" s="1"/>
  <c r="AH7" i="4" s="1"/>
  <c r="AJ7" i="4" s="1"/>
  <c r="AM7" i="4" s="1"/>
  <c r="I6" i="50"/>
  <c r="L6" i="50" s="1"/>
  <c r="AH9" i="4" s="1"/>
  <c r="AJ9" i="4" s="1"/>
  <c r="AM9" i="4" s="1"/>
  <c r="AN9" i="4" s="1"/>
  <c r="I8" i="50"/>
  <c r="L8" i="50" s="1"/>
  <c r="AH11" i="4" s="1"/>
  <c r="AJ11" i="4" s="1"/>
  <c r="AM11" i="4" s="1"/>
  <c r="AN11" i="4" s="1"/>
  <c r="I10" i="50"/>
  <c r="L10" i="50" s="1"/>
  <c r="AH13" i="4" s="1"/>
  <c r="AJ13" i="4" s="1"/>
  <c r="AM13" i="4" s="1"/>
  <c r="AN13" i="4" s="1"/>
  <c r="I12" i="50"/>
  <c r="L12" i="50" s="1"/>
  <c r="AH15" i="4" s="1"/>
  <c r="AJ15" i="4" s="1"/>
  <c r="AM15" i="4" s="1"/>
  <c r="AN15" i="4" s="1"/>
  <c r="I14" i="50"/>
  <c r="L14" i="50" s="1"/>
  <c r="AH17" i="4" s="1"/>
  <c r="AJ17" i="4" s="1"/>
  <c r="AM17" i="4" s="1"/>
  <c r="AN17" i="4" s="1"/>
  <c r="I16" i="50"/>
  <c r="L16" i="50" s="1"/>
  <c r="AH19" i="4" s="1"/>
  <c r="AJ19" i="4" s="1"/>
  <c r="AM19" i="4" s="1"/>
  <c r="AN19" i="4" s="1"/>
  <c r="I18" i="50"/>
  <c r="L18" i="50" s="1"/>
  <c r="AH21" i="4" s="1"/>
  <c r="I20" i="50"/>
  <c r="L20" i="50" s="1"/>
  <c r="AH23" i="4" s="1"/>
  <c r="I22" i="50"/>
  <c r="L22" i="50" s="1"/>
  <c r="AH25" i="4" s="1"/>
  <c r="AJ25" i="4" s="1"/>
  <c r="AM25" i="4" s="1"/>
  <c r="AN25" i="4" s="1"/>
  <c r="I24" i="50"/>
  <c r="L24" i="50" s="1"/>
  <c r="AH27" i="4" s="1"/>
  <c r="AJ27" i="4" s="1"/>
  <c r="AM27" i="4" s="1"/>
  <c r="AN27" i="4" s="1"/>
  <c r="I26" i="50"/>
  <c r="L26" i="50" s="1"/>
  <c r="AH29" i="4" s="1"/>
  <c r="AJ29" i="4" s="1"/>
  <c r="AM29" i="4" s="1"/>
  <c r="AN29" i="4" s="1"/>
  <c r="I28" i="50"/>
  <c r="L28" i="50" s="1"/>
  <c r="AH31" i="4" s="1"/>
  <c r="AJ31" i="4" s="1"/>
  <c r="AM31" i="4" s="1"/>
  <c r="AN31" i="4" s="1"/>
  <c r="I30" i="50"/>
  <c r="L30" i="50" s="1"/>
  <c r="AH33" i="4" s="1"/>
  <c r="AJ33" i="4" s="1"/>
  <c r="AM33" i="4" s="1"/>
  <c r="AN33" i="4" s="1"/>
  <c r="I32" i="50"/>
  <c r="L32" i="50" s="1"/>
  <c r="AH35" i="4" s="1"/>
  <c r="AJ35" i="4" s="1"/>
  <c r="AM35" i="4" s="1"/>
  <c r="AN35" i="4" s="1"/>
  <c r="I34" i="50"/>
  <c r="L34" i="50" s="1"/>
  <c r="AH37" i="4" s="1"/>
  <c r="I36" i="50"/>
  <c r="L36" i="50" s="1"/>
  <c r="AH39" i="4" s="1"/>
  <c r="AJ39" i="4" s="1"/>
  <c r="AM39" i="4" s="1"/>
  <c r="AN39" i="4" s="1"/>
  <c r="I38" i="50"/>
  <c r="L38" i="50" s="1"/>
  <c r="AH41" i="4" s="1"/>
  <c r="AJ41" i="4" s="1"/>
  <c r="AM41" i="4" s="1"/>
  <c r="AN41" i="4" s="1"/>
  <c r="I40" i="50"/>
  <c r="L40" i="50" s="1"/>
  <c r="AH43" i="4" s="1"/>
  <c r="AJ43" i="4" s="1"/>
  <c r="AM43" i="4" s="1"/>
  <c r="AN43" i="4" s="1"/>
  <c r="I42" i="50"/>
  <c r="L42" i="50" s="1"/>
  <c r="AH45" i="4" s="1"/>
  <c r="AJ45" i="4" s="1"/>
  <c r="AM45" i="4" s="1"/>
  <c r="AN45" i="4" s="1"/>
  <c r="I44" i="50"/>
  <c r="L44" i="50" s="1"/>
  <c r="AH47" i="4" s="1"/>
  <c r="AJ47" i="4" s="1"/>
  <c r="AM47" i="4" s="1"/>
  <c r="AN47" i="4" s="1"/>
  <c r="I46" i="50"/>
  <c r="L46" i="50" s="1"/>
  <c r="AH49" i="4" s="1"/>
  <c r="I48" i="50"/>
  <c r="L48" i="50" s="1"/>
  <c r="AH51" i="4" s="1"/>
  <c r="I50" i="50"/>
  <c r="L50" i="50" s="1"/>
  <c r="AH53" i="4" s="1"/>
  <c r="AJ53" i="4" s="1"/>
  <c r="AM53" i="4" s="1"/>
  <c r="AN53" i="4" s="1"/>
  <c r="I52" i="50"/>
  <c r="L52" i="50" s="1"/>
  <c r="AH55" i="4" s="1"/>
  <c r="AJ55" i="4" s="1"/>
  <c r="AM55" i="4" s="1"/>
  <c r="AN55" i="4" s="1"/>
  <c r="I54" i="50"/>
  <c r="L54" i="50" s="1"/>
  <c r="AH57" i="4" s="1"/>
  <c r="AJ57" i="4" s="1"/>
  <c r="AM57" i="4" s="1"/>
  <c r="AN57" i="4" s="1"/>
  <c r="I56" i="50"/>
  <c r="L56" i="50" s="1"/>
  <c r="AH59" i="4" s="1"/>
  <c r="AJ59" i="4" s="1"/>
  <c r="AM59" i="4" s="1"/>
  <c r="AN59" i="4" s="1"/>
  <c r="I58" i="50"/>
  <c r="L58" i="50" s="1"/>
  <c r="AH61" i="4" s="1"/>
  <c r="AJ61" i="4" s="1"/>
  <c r="AM61" i="4" s="1"/>
  <c r="AN61" i="4" s="1"/>
  <c r="I60" i="50"/>
  <c r="L60" i="50" s="1"/>
  <c r="AH63" i="4" s="1"/>
  <c r="I62" i="50"/>
  <c r="L62" i="50" s="1"/>
  <c r="AH65" i="4" s="1"/>
  <c r="AJ65" i="4" s="1"/>
  <c r="AM65" i="4" s="1"/>
  <c r="AN65" i="4" s="1"/>
  <c r="I64" i="50"/>
  <c r="L64" i="50" s="1"/>
  <c r="AH67" i="4" s="1"/>
  <c r="AJ67" i="4" s="1"/>
  <c r="AM67" i="4" s="1"/>
  <c r="AN67" i="4" s="1"/>
  <c r="I66" i="50"/>
  <c r="L66" i="50" s="1"/>
  <c r="AH69" i="4" s="1"/>
  <c r="I68" i="50"/>
  <c r="L68" i="50" s="1"/>
  <c r="AH71" i="4" s="1"/>
  <c r="AJ71" i="4" s="1"/>
  <c r="AM71" i="4" s="1"/>
  <c r="AN71" i="4" s="1"/>
  <c r="I70" i="50"/>
  <c r="L70" i="50" s="1"/>
  <c r="AH73" i="4" s="1"/>
  <c r="AJ73" i="4" s="1"/>
  <c r="AM73" i="4" s="1"/>
  <c r="AN73" i="4" s="1"/>
  <c r="I72" i="50"/>
  <c r="L72" i="50" s="1"/>
  <c r="AH75" i="4" s="1"/>
  <c r="AJ75" i="4" s="1"/>
  <c r="AM75" i="4" s="1"/>
  <c r="AN75" i="4" s="1"/>
  <c r="I74" i="50"/>
  <c r="L74" i="50" s="1"/>
  <c r="AH77" i="4" s="1"/>
  <c r="I76" i="50"/>
  <c r="L76" i="50" s="1"/>
  <c r="AH79" i="4" s="1"/>
  <c r="AJ79" i="4" s="1"/>
  <c r="AM79" i="4" s="1"/>
  <c r="AN79" i="4" s="1"/>
  <c r="I78" i="50"/>
  <c r="L78" i="50" s="1"/>
  <c r="AH81" i="4" s="1"/>
  <c r="AJ81" i="4" s="1"/>
  <c r="AM81" i="4" s="1"/>
  <c r="AN81" i="4" s="1"/>
  <c r="AP81" i="4" s="1"/>
  <c r="I80" i="50"/>
  <c r="L80" i="50" s="1"/>
  <c r="AH83" i="4" s="1"/>
  <c r="AJ83" i="4" s="1"/>
  <c r="AM83" i="4" s="1"/>
  <c r="AN83" i="4" s="1"/>
  <c r="I82" i="50"/>
  <c r="L82" i="50" s="1"/>
  <c r="AH85" i="4" s="1"/>
  <c r="AJ85" i="4" s="1"/>
  <c r="AM85" i="4" s="1"/>
  <c r="AN85" i="4" s="1"/>
  <c r="I84" i="50"/>
  <c r="L84" i="50" s="1"/>
  <c r="AH87" i="4" s="1"/>
  <c r="AJ87" i="4" s="1"/>
  <c r="AM87" i="4" s="1"/>
  <c r="AN87" i="4" s="1"/>
  <c r="I86" i="50"/>
  <c r="L86" i="50" s="1"/>
  <c r="AH89" i="4" s="1"/>
  <c r="I88" i="50"/>
  <c r="L88" i="50" s="1"/>
  <c r="AH91" i="4" s="1"/>
  <c r="AJ91" i="4" s="1"/>
  <c r="AM91" i="4" s="1"/>
  <c r="AN91" i="4" s="1"/>
  <c r="I90" i="50"/>
  <c r="L90" i="50" s="1"/>
  <c r="AH93" i="4" s="1"/>
  <c r="AJ93" i="4" s="1"/>
  <c r="AM93" i="4" s="1"/>
  <c r="AN93" i="4" s="1"/>
  <c r="I92" i="50"/>
  <c r="L92" i="50" s="1"/>
  <c r="AH95" i="4" s="1"/>
  <c r="AJ95" i="4" s="1"/>
  <c r="AM95" i="4" s="1"/>
  <c r="AN95" i="4" s="1"/>
  <c r="I94" i="50"/>
  <c r="L94" i="50" s="1"/>
  <c r="AH97" i="4" s="1"/>
  <c r="AJ97" i="4" s="1"/>
  <c r="AM97" i="4" s="1"/>
  <c r="AN97" i="4" s="1"/>
  <c r="I96" i="50"/>
  <c r="L96" i="50" s="1"/>
  <c r="AH99" i="4" s="1"/>
  <c r="AJ99" i="4" s="1"/>
  <c r="AM99" i="4" s="1"/>
  <c r="AN99" i="4" s="1"/>
  <c r="I98" i="50"/>
  <c r="L98" i="50" s="1"/>
  <c r="AH101" i="4" s="1"/>
  <c r="I100" i="50"/>
  <c r="L100" i="50" s="1"/>
  <c r="AH103" i="4" s="1"/>
  <c r="AJ103" i="4" s="1"/>
  <c r="AM103" i="4" s="1"/>
  <c r="AN103" i="4" s="1"/>
  <c r="I102" i="50"/>
  <c r="L102" i="50" s="1"/>
  <c r="AH105" i="4" s="1"/>
  <c r="AJ105" i="4" s="1"/>
  <c r="AM105" i="4" s="1"/>
  <c r="AN105" i="4" s="1"/>
  <c r="I104" i="50"/>
  <c r="L104" i="50" s="1"/>
  <c r="AH107" i="4" s="1"/>
  <c r="AJ107" i="4" s="1"/>
  <c r="AM107" i="4" s="1"/>
  <c r="AN107" i="4" s="1"/>
  <c r="I106" i="50"/>
  <c r="L106" i="50" s="1"/>
  <c r="AH109" i="4" s="1"/>
  <c r="AJ109" i="4" s="1"/>
  <c r="AM109" i="4" s="1"/>
  <c r="AN109" i="4" s="1"/>
  <c r="I108" i="50"/>
  <c r="L108" i="50" s="1"/>
  <c r="AH111" i="4" s="1"/>
  <c r="AJ111" i="4" s="1"/>
  <c r="AM111" i="4" s="1"/>
  <c r="AN111" i="4" s="1"/>
  <c r="I110" i="50"/>
  <c r="L110" i="50" s="1"/>
  <c r="AH113" i="4" s="1"/>
  <c r="AJ113" i="4" s="1"/>
  <c r="AM113" i="4" s="1"/>
  <c r="AN113" i="4" s="1"/>
  <c r="I112" i="50"/>
  <c r="L112" i="50" s="1"/>
  <c r="AH115" i="4" s="1"/>
  <c r="AJ115" i="4" s="1"/>
  <c r="AM115" i="4" s="1"/>
  <c r="AN115" i="4" s="1"/>
  <c r="I114" i="50"/>
  <c r="L114" i="50" s="1"/>
  <c r="AH117" i="4" s="1"/>
  <c r="I116" i="50"/>
  <c r="L116" i="50" s="1"/>
  <c r="AH119" i="4" s="1"/>
  <c r="AJ119" i="4" s="1"/>
  <c r="AM119" i="4" s="1"/>
  <c r="AN119" i="4" s="1"/>
  <c r="I118" i="50"/>
  <c r="L118" i="50" s="1"/>
  <c r="AH121" i="4" s="1"/>
  <c r="AJ121" i="4" s="1"/>
  <c r="AM121" i="4" s="1"/>
  <c r="AN121" i="4" s="1"/>
  <c r="I120" i="50"/>
  <c r="L120" i="50" s="1"/>
  <c r="AH123" i="4" s="1"/>
  <c r="AJ123" i="4" s="1"/>
  <c r="AM123" i="4" s="1"/>
  <c r="AN123" i="4" s="1"/>
  <c r="I122" i="50"/>
  <c r="L122" i="50" s="1"/>
  <c r="AH125" i="4" s="1"/>
  <c r="AJ125" i="4" s="1"/>
  <c r="AM125" i="4" s="1"/>
  <c r="AN125" i="4" s="1"/>
  <c r="I124" i="50"/>
  <c r="L124" i="50" s="1"/>
  <c r="AH127" i="4" s="1"/>
  <c r="AJ127" i="4" s="1"/>
  <c r="AM127" i="4" s="1"/>
  <c r="AN127" i="4" s="1"/>
  <c r="I126" i="50"/>
  <c r="L126" i="50" s="1"/>
  <c r="AH129" i="4" s="1"/>
  <c r="AJ129" i="4" s="1"/>
  <c r="AM129" i="4" s="1"/>
  <c r="AN129" i="4" s="1"/>
  <c r="I128" i="50"/>
  <c r="L128" i="50" s="1"/>
  <c r="AH131" i="4" s="1"/>
  <c r="AJ131" i="4" s="1"/>
  <c r="AM131" i="4" s="1"/>
  <c r="AN131" i="4" s="1"/>
  <c r="I130" i="50"/>
  <c r="L130" i="50" s="1"/>
  <c r="AH133" i="4" s="1"/>
  <c r="AJ133" i="4" s="1"/>
  <c r="AM133" i="4" s="1"/>
  <c r="AN133" i="4" s="1"/>
  <c r="I132" i="50"/>
  <c r="L132" i="50" s="1"/>
  <c r="AH135" i="4" s="1"/>
  <c r="AJ135" i="4" s="1"/>
  <c r="AM135" i="4" s="1"/>
  <c r="AN135" i="4" s="1"/>
  <c r="I134" i="50"/>
  <c r="L134" i="50" s="1"/>
  <c r="AH137" i="4" s="1"/>
  <c r="AJ137" i="4" s="1"/>
  <c r="AM137" i="4" s="1"/>
  <c r="AN137" i="4" s="1"/>
  <c r="I136" i="50"/>
  <c r="L136" i="50" s="1"/>
  <c r="AH139" i="4" s="1"/>
  <c r="AJ139" i="4" s="1"/>
  <c r="AM139" i="4" s="1"/>
  <c r="AN139" i="4" s="1"/>
  <c r="I138" i="50"/>
  <c r="L138" i="50" s="1"/>
  <c r="AH141" i="4" s="1"/>
  <c r="AJ141" i="4" s="1"/>
  <c r="AM141" i="4" s="1"/>
  <c r="AN141" i="4" s="1"/>
  <c r="I140" i="50"/>
  <c r="L140" i="50" s="1"/>
  <c r="AH143" i="4" s="1"/>
  <c r="AJ143" i="4" s="1"/>
  <c r="AM143" i="4" s="1"/>
  <c r="AN143" i="4" s="1"/>
  <c r="I142" i="50"/>
  <c r="L142" i="50" s="1"/>
  <c r="AH145" i="4" s="1"/>
  <c r="AJ145" i="4" s="1"/>
  <c r="AM145" i="4" s="1"/>
  <c r="AN145" i="4" s="1"/>
  <c r="I144" i="50"/>
  <c r="L144" i="50" s="1"/>
  <c r="AH147" i="4" s="1"/>
  <c r="AJ147" i="4" s="1"/>
  <c r="AM147" i="4" s="1"/>
  <c r="AN147" i="4" s="1"/>
  <c r="I146" i="50"/>
  <c r="L146" i="50" s="1"/>
  <c r="AH149" i="4" s="1"/>
  <c r="AJ149" i="4" s="1"/>
  <c r="AM149" i="4" s="1"/>
  <c r="AN149" i="4" s="1"/>
  <c r="I148" i="50"/>
  <c r="L148" i="50" s="1"/>
  <c r="AH151" i="4" s="1"/>
  <c r="AJ151" i="4" s="1"/>
  <c r="AM151" i="4" s="1"/>
  <c r="AN151" i="4" s="1"/>
  <c r="I150" i="50"/>
  <c r="L150" i="50" s="1"/>
  <c r="AH153" i="4" s="1"/>
  <c r="AJ153" i="4" s="1"/>
  <c r="AM153" i="4" s="1"/>
  <c r="AN153" i="4" s="1"/>
  <c r="I152" i="50"/>
  <c r="L152" i="50" s="1"/>
  <c r="AH155" i="4" s="1"/>
  <c r="AJ155" i="4" s="1"/>
  <c r="AM155" i="4" s="1"/>
  <c r="AN155" i="4" s="1"/>
  <c r="I154" i="50"/>
  <c r="L154" i="50" s="1"/>
  <c r="AH157" i="4" s="1"/>
  <c r="AJ157" i="4" s="1"/>
  <c r="AM157" i="4" s="1"/>
  <c r="AN157" i="4" s="1"/>
  <c r="I156" i="50"/>
  <c r="L156" i="50" s="1"/>
  <c r="AH159" i="4" s="1"/>
  <c r="AJ159" i="4" s="1"/>
  <c r="AM159" i="4" s="1"/>
  <c r="AN159" i="4" s="1"/>
  <c r="I158" i="50"/>
  <c r="L158" i="50" s="1"/>
  <c r="AH161" i="4" s="1"/>
  <c r="AJ161" i="4" s="1"/>
  <c r="AM161" i="4" s="1"/>
  <c r="AN161" i="4" s="1"/>
  <c r="I160" i="50"/>
  <c r="L160" i="50" s="1"/>
  <c r="AH163" i="4" s="1"/>
  <c r="AJ163" i="4" s="1"/>
  <c r="AM163" i="4" s="1"/>
  <c r="AN163" i="4" s="1"/>
  <c r="I162" i="50"/>
  <c r="L162" i="50" s="1"/>
  <c r="AH165" i="4" s="1"/>
  <c r="AJ165" i="4" s="1"/>
  <c r="AM165" i="4" s="1"/>
  <c r="AN165" i="4" s="1"/>
  <c r="I164" i="50"/>
  <c r="L164" i="50" s="1"/>
  <c r="AH167" i="4" s="1"/>
  <c r="I166" i="50"/>
  <c r="L166" i="50" s="1"/>
  <c r="AH169" i="4" s="1"/>
  <c r="AJ169" i="4" s="1"/>
  <c r="AM169" i="4" s="1"/>
  <c r="AN169" i="4" s="1"/>
  <c r="I168" i="50"/>
  <c r="L168" i="50" s="1"/>
  <c r="AH171" i="4" s="1"/>
  <c r="I170" i="50"/>
  <c r="L170" i="50" s="1"/>
  <c r="AH173" i="4" s="1"/>
  <c r="I172" i="50"/>
  <c r="L172" i="50" s="1"/>
  <c r="AH175" i="4" s="1"/>
  <c r="AJ175" i="4" s="1"/>
  <c r="AM175" i="4" s="1"/>
  <c r="AN175" i="4" s="1"/>
  <c r="AP175" i="4" s="1"/>
  <c r="I113" i="50"/>
  <c r="L113" i="50" s="1"/>
  <c r="AH116" i="4" s="1"/>
  <c r="AJ116" i="4" s="1"/>
  <c r="AM116" i="4" s="1"/>
  <c r="AN116" i="4" s="1"/>
  <c r="I129" i="50"/>
  <c r="L129" i="50" s="1"/>
  <c r="AH132" i="4" s="1"/>
  <c r="I145" i="50"/>
  <c r="L145" i="50" s="1"/>
  <c r="AH148" i="4" s="1"/>
  <c r="AJ148" i="4" s="1"/>
  <c r="AM148" i="4" s="1"/>
  <c r="AN148" i="4" s="1"/>
  <c r="I161" i="50"/>
  <c r="L161" i="50" s="1"/>
  <c r="AH164" i="4" s="1"/>
  <c r="AJ164" i="4" s="1"/>
  <c r="AM164" i="4" s="1"/>
  <c r="AN164" i="4" s="1"/>
  <c r="I137" i="50"/>
  <c r="L137" i="50" s="1"/>
  <c r="AH140" i="4" s="1"/>
  <c r="AJ140" i="4" s="1"/>
  <c r="AM140" i="4" s="1"/>
  <c r="AN140" i="4" s="1"/>
  <c r="I180" i="50"/>
  <c r="L180" i="50" s="1"/>
  <c r="AH183" i="4" s="1"/>
  <c r="AJ183" i="4" s="1"/>
  <c r="AM183" i="4" s="1"/>
  <c r="AN183" i="4" s="1"/>
  <c r="I131" i="50"/>
  <c r="L131" i="50" s="1"/>
  <c r="AH134" i="4" s="1"/>
  <c r="AJ134" i="4" s="1"/>
  <c r="AM134" i="4" s="1"/>
  <c r="AN134" i="4" s="1"/>
  <c r="I147" i="50"/>
  <c r="L147" i="50" s="1"/>
  <c r="AH150" i="4" s="1"/>
  <c r="AJ150" i="4" s="1"/>
  <c r="AM150" i="4" s="1"/>
  <c r="AN150" i="4" s="1"/>
  <c r="I111" i="50"/>
  <c r="L111" i="50" s="1"/>
  <c r="AH114" i="4" s="1"/>
  <c r="AJ114" i="4" s="1"/>
  <c r="AM114" i="4" s="1"/>
  <c r="AN114" i="4" s="1"/>
  <c r="I127" i="50"/>
  <c r="L127" i="50" s="1"/>
  <c r="AH130" i="4" s="1"/>
  <c r="AJ130" i="4" s="1"/>
  <c r="AM130" i="4" s="1"/>
  <c r="AN130" i="4" s="1"/>
  <c r="I143" i="50"/>
  <c r="L143" i="50" s="1"/>
  <c r="AH146" i="4" s="1"/>
  <c r="AJ146" i="4" s="1"/>
  <c r="AM146" i="4" s="1"/>
  <c r="AN146" i="4" s="1"/>
  <c r="I159" i="50"/>
  <c r="L159" i="50" s="1"/>
  <c r="AH162" i="4" s="1"/>
  <c r="AJ162" i="4" s="1"/>
  <c r="AM162" i="4" s="1"/>
  <c r="AN162" i="4" s="1"/>
  <c r="AP162" i="4" s="1"/>
  <c r="I171" i="50"/>
  <c r="L171" i="50" s="1"/>
  <c r="AH174" i="4" s="1"/>
  <c r="AJ174" i="4" s="1"/>
  <c r="AM174" i="4" s="1"/>
  <c r="AN174" i="4" s="1"/>
  <c r="I149" i="50"/>
  <c r="L149" i="50" s="1"/>
  <c r="AH152" i="4" s="1"/>
  <c r="AJ152" i="4" s="1"/>
  <c r="AM152" i="4" s="1"/>
  <c r="AN152" i="4" s="1"/>
  <c r="I165" i="50"/>
  <c r="L165" i="50" s="1"/>
  <c r="AH168" i="4" s="1"/>
  <c r="AJ168" i="4" s="1"/>
  <c r="AM168" i="4" s="1"/>
  <c r="AN168" i="4" s="1"/>
  <c r="I109" i="50"/>
  <c r="L109" i="50" s="1"/>
  <c r="AH112" i="4" s="1"/>
  <c r="AJ112" i="4" s="1"/>
  <c r="AM112" i="4" s="1"/>
  <c r="AN112" i="4" s="1"/>
  <c r="I125" i="50"/>
  <c r="L125" i="50" s="1"/>
  <c r="AH128" i="4" s="1"/>
  <c r="AJ128" i="4" s="1"/>
  <c r="AM128" i="4" s="1"/>
  <c r="AN128" i="4" s="1"/>
  <c r="I141" i="50"/>
  <c r="L141" i="50" s="1"/>
  <c r="AH144" i="4" s="1"/>
  <c r="AJ144" i="4" s="1"/>
  <c r="AM144" i="4" s="1"/>
  <c r="AN144" i="4" s="1"/>
  <c r="I157" i="50"/>
  <c r="L157" i="50" s="1"/>
  <c r="AH160" i="4" s="1"/>
  <c r="I173" i="50"/>
  <c r="L173" i="50" s="1"/>
  <c r="AH176" i="4" s="1"/>
  <c r="AJ176" i="4" s="1"/>
  <c r="AM176" i="4" s="1"/>
  <c r="AN176" i="4" s="1"/>
  <c r="I175" i="50"/>
  <c r="L175" i="50" s="1"/>
  <c r="AH178" i="4" s="1"/>
  <c r="AJ178" i="4" s="1"/>
  <c r="AM178" i="4" s="1"/>
  <c r="AN178" i="4" s="1"/>
  <c r="I177" i="50"/>
  <c r="L177" i="50" s="1"/>
  <c r="AH180" i="4" s="1"/>
  <c r="AJ180" i="4" s="1"/>
  <c r="AM180" i="4" s="1"/>
  <c r="AN180" i="4" s="1"/>
  <c r="I179" i="50"/>
  <c r="L179" i="50" s="1"/>
  <c r="AH182" i="4" s="1"/>
  <c r="I181" i="50"/>
  <c r="L181" i="50" s="1"/>
  <c r="AH184" i="4" s="1"/>
  <c r="AJ184" i="4" s="1"/>
  <c r="AM184" i="4" s="1"/>
  <c r="AN184" i="4" s="1"/>
  <c r="I169" i="50"/>
  <c r="L169" i="50" s="1"/>
  <c r="AH172" i="4" s="1"/>
  <c r="AJ172" i="4" s="1"/>
  <c r="AM172" i="4" s="1"/>
  <c r="AN172" i="4" s="1"/>
  <c r="I107" i="50"/>
  <c r="L107" i="50" s="1"/>
  <c r="AH110" i="4" s="1"/>
  <c r="AJ110" i="4" s="1"/>
  <c r="AM110" i="4" s="1"/>
  <c r="AN110" i="4" s="1"/>
  <c r="I123" i="50"/>
  <c r="L123" i="50" s="1"/>
  <c r="AH126" i="4" s="1"/>
  <c r="AJ126" i="4" s="1"/>
  <c r="AM126" i="4" s="1"/>
  <c r="AN126" i="4" s="1"/>
  <c r="I139" i="50"/>
  <c r="L139" i="50" s="1"/>
  <c r="AH142" i="4" s="1"/>
  <c r="AJ142" i="4" s="1"/>
  <c r="AM142" i="4" s="1"/>
  <c r="AN142" i="4" s="1"/>
  <c r="I155" i="50"/>
  <c r="L155" i="50" s="1"/>
  <c r="AH158" i="4" s="1"/>
  <c r="I151" i="50"/>
  <c r="L151" i="50" s="1"/>
  <c r="AH154" i="4" s="1"/>
  <c r="AJ154" i="4" s="1"/>
  <c r="AM154" i="4" s="1"/>
  <c r="AN154" i="4" s="1"/>
  <c r="I167" i="50"/>
  <c r="L167" i="50" s="1"/>
  <c r="AH170" i="4" s="1"/>
  <c r="AJ170" i="4" s="1"/>
  <c r="AM170" i="4" s="1"/>
  <c r="AN170" i="4" s="1"/>
  <c r="I174" i="50"/>
  <c r="L174" i="50" s="1"/>
  <c r="AH177" i="4" s="1"/>
  <c r="AJ177" i="4" s="1"/>
  <c r="AM177" i="4" s="1"/>
  <c r="AN177" i="4" s="1"/>
  <c r="AP177" i="4" s="1"/>
  <c r="I115" i="50"/>
  <c r="L115" i="50" s="1"/>
  <c r="AH118" i="4" s="1"/>
  <c r="AJ118" i="4" s="1"/>
  <c r="AM118" i="4" s="1"/>
  <c r="AN118" i="4" s="1"/>
  <c r="I163" i="50"/>
  <c r="L163" i="50" s="1"/>
  <c r="AH166" i="4" s="1"/>
  <c r="AJ166" i="4" s="1"/>
  <c r="AM166" i="4" s="1"/>
  <c r="AN166" i="4" s="1"/>
  <c r="I121" i="50"/>
  <c r="L121" i="50" s="1"/>
  <c r="AH124" i="4" s="1"/>
  <c r="AJ124" i="4" s="1"/>
  <c r="AM124" i="4" s="1"/>
  <c r="AN124" i="4" s="1"/>
  <c r="I153" i="50"/>
  <c r="L153" i="50" s="1"/>
  <c r="AH156" i="4" s="1"/>
  <c r="AJ156" i="4" s="1"/>
  <c r="AM156" i="4" s="1"/>
  <c r="AN156" i="4" s="1"/>
  <c r="I117" i="50"/>
  <c r="L117" i="50" s="1"/>
  <c r="AH120" i="4" s="1"/>
  <c r="AJ120" i="4" s="1"/>
  <c r="AM120" i="4" s="1"/>
  <c r="AN120" i="4" s="1"/>
  <c r="I176" i="50"/>
  <c r="L176" i="50" s="1"/>
  <c r="AH179" i="4" s="1"/>
  <c r="AJ179" i="4" s="1"/>
  <c r="AM179" i="4" s="1"/>
  <c r="AN179" i="4" s="1"/>
  <c r="I119" i="50"/>
  <c r="L119" i="50" s="1"/>
  <c r="AH122" i="4" s="1"/>
  <c r="I135" i="50"/>
  <c r="L135" i="50" s="1"/>
  <c r="AH138" i="4" s="1"/>
  <c r="I133" i="50"/>
  <c r="L133" i="50" s="1"/>
  <c r="AH136" i="4" s="1"/>
  <c r="AJ136" i="4" s="1"/>
  <c r="AM136" i="4" s="1"/>
  <c r="AN136" i="4" s="1"/>
  <c r="I182" i="50"/>
  <c r="L182" i="50" s="1"/>
  <c r="AH185" i="4" s="1"/>
  <c r="I178" i="50"/>
  <c r="L178" i="50" s="1"/>
  <c r="AH181" i="4" s="1"/>
  <c r="AJ181" i="4" s="1"/>
  <c r="AM181" i="4" s="1"/>
  <c r="AN181" i="4" s="1"/>
  <c r="AH6" i="4"/>
  <c r="AJ62" i="4"/>
  <c r="AM62" i="4" s="1"/>
  <c r="AN62" i="4" s="1"/>
  <c r="AJ40" i="4"/>
  <c r="AM40" i="4" s="1"/>
  <c r="AN40" i="4" s="1"/>
  <c r="AJ10" i="4"/>
  <c r="AM10" i="4" s="1"/>
  <c r="AN10" i="4" s="1"/>
  <c r="AJ28" i="4"/>
  <c r="AM28" i="4" s="1"/>
  <c r="AN28" i="4" s="1"/>
  <c r="AJ37" i="4"/>
  <c r="AM37" i="4" s="1"/>
  <c r="AN37" i="4" s="1"/>
  <c r="AJ14" i="4"/>
  <c r="AM14" i="4" s="1"/>
  <c r="AN14" i="4" s="1"/>
  <c r="AJ42" i="4"/>
  <c r="AM42" i="4" s="1"/>
  <c r="AN42" i="4" s="1"/>
  <c r="AJ30" i="4"/>
  <c r="AM30" i="4" s="1"/>
  <c r="AN30" i="4" s="1"/>
  <c r="AJ94" i="4"/>
  <c r="AM94" i="4" s="1"/>
  <c r="AN94" i="4" s="1"/>
  <c r="AJ26" i="4"/>
  <c r="AM26" i="4" s="1"/>
  <c r="AN26" i="4" s="1"/>
  <c r="AJ12" i="4"/>
  <c r="AM12" i="4" s="1"/>
  <c r="AN12" i="4" s="1"/>
  <c r="AJ101" i="4"/>
  <c r="AM101" i="4" s="1"/>
  <c r="AN101" i="4" s="1"/>
  <c r="AJ23" i="4"/>
  <c r="AM23" i="4" s="1"/>
  <c r="AN23" i="4" s="1"/>
  <c r="AJ46" i="4"/>
  <c r="AM46" i="4" s="1"/>
  <c r="AN46" i="4" s="1"/>
  <c r="AJ69" i="4"/>
  <c r="AM69" i="4" s="1"/>
  <c r="AN69" i="4" s="1"/>
  <c r="AJ44" i="4"/>
  <c r="AM44" i="4" s="1"/>
  <c r="AN44" i="4" s="1"/>
  <c r="AJ56" i="4"/>
  <c r="AM56" i="4" s="1"/>
  <c r="AN56" i="4" s="1"/>
  <c r="AG185" i="4"/>
  <c r="AB6" i="4"/>
  <c r="L6" i="4"/>
  <c r="O6" i="4" s="1"/>
  <c r="R6" i="4" s="1"/>
  <c r="U6" i="4" s="1"/>
  <c r="L183" i="45"/>
  <c r="V6" i="4"/>
  <c r="AN7" i="4" l="1"/>
  <c r="D10" i="7" s="1"/>
  <c r="R59" i="11"/>
  <c r="H19" i="7"/>
  <c r="E16" i="17"/>
  <c r="T28" i="7"/>
  <c r="E9" i="19"/>
  <c r="R54" i="11"/>
  <c r="R22" i="11"/>
  <c r="T21" i="7"/>
  <c r="E2" i="19"/>
  <c r="R47" i="11"/>
  <c r="E16" i="20"/>
  <c r="E9" i="13"/>
  <c r="D25" i="7"/>
  <c r="X26" i="7"/>
  <c r="R9" i="11"/>
  <c r="R173" i="11"/>
  <c r="R159" i="11"/>
  <c r="E11" i="17"/>
  <c r="X22" i="7"/>
  <c r="R100" i="11"/>
  <c r="E3" i="18"/>
  <c r="P14" i="7"/>
  <c r="L18" i="7"/>
  <c r="R36" i="11"/>
  <c r="R77" i="11"/>
  <c r="E4" i="21"/>
  <c r="E12" i="13"/>
  <c r="R145" i="11"/>
  <c r="E13" i="15"/>
  <c r="E3" i="14"/>
  <c r="R17" i="11"/>
  <c r="E17" i="18"/>
  <c r="E10" i="16"/>
  <c r="R66" i="11"/>
  <c r="AF10" i="7"/>
  <c r="AB25" i="7"/>
  <c r="T18" i="7"/>
  <c r="R94" i="11"/>
  <c r="R34" i="11"/>
  <c r="AJ24" i="7"/>
  <c r="R130" i="11"/>
  <c r="E17" i="17"/>
  <c r="R51" i="11"/>
  <c r="R146" i="11"/>
  <c r="R136" i="11"/>
  <c r="E8" i="21"/>
  <c r="D27" i="7"/>
  <c r="X13" i="7"/>
  <c r="AB27" i="7"/>
  <c r="R127" i="11"/>
  <c r="AF26" i="7"/>
  <c r="T22" i="7"/>
  <c r="P26" i="7"/>
  <c r="E3" i="19"/>
  <c r="H18" i="7"/>
  <c r="T15" i="7"/>
  <c r="E12" i="19"/>
  <c r="R20" i="11"/>
  <c r="E9" i="18"/>
  <c r="T25" i="7"/>
  <c r="AJ23" i="7"/>
  <c r="E9" i="21"/>
  <c r="AJ21" i="7"/>
  <c r="P28" i="7"/>
  <c r="E14" i="19"/>
  <c r="E12" i="14"/>
  <c r="AB12" i="7"/>
  <c r="R62" i="11"/>
  <c r="D20" i="7"/>
  <c r="R87" i="11"/>
  <c r="E6" i="16"/>
  <c r="E20" i="20"/>
  <c r="R88" i="11"/>
  <c r="R43" i="11"/>
  <c r="L10" i="7"/>
  <c r="R174" i="11"/>
  <c r="X15" i="7"/>
  <c r="AF22" i="7"/>
  <c r="P22" i="7"/>
  <c r="R85" i="11"/>
  <c r="E8" i="18"/>
  <c r="R25" i="11"/>
  <c r="H23" i="7"/>
  <c r="R37" i="11"/>
  <c r="P11" i="7"/>
  <c r="E5" i="13"/>
  <c r="R6" i="11"/>
  <c r="L16" i="7"/>
  <c r="T24" i="7"/>
  <c r="AB16" i="7"/>
  <c r="R98" i="11"/>
  <c r="E4" i="19"/>
  <c r="E13" i="17"/>
  <c r="R134" i="11"/>
  <c r="AB20" i="7"/>
  <c r="H24" i="7"/>
  <c r="E17" i="20"/>
  <c r="R38" i="11"/>
  <c r="X24" i="7"/>
  <c r="E17" i="14"/>
  <c r="R118" i="11"/>
  <c r="E5" i="16"/>
  <c r="R166" i="11"/>
  <c r="P25" i="7"/>
  <c r="R79" i="11"/>
  <c r="D12" i="7"/>
  <c r="E9" i="17"/>
  <c r="AJ20" i="7"/>
  <c r="P23" i="7"/>
  <c r="R112" i="11"/>
  <c r="E13" i="16"/>
  <c r="E21" i="20"/>
  <c r="H28" i="7"/>
  <c r="R42" i="11"/>
  <c r="E14" i="20"/>
  <c r="R58" i="11"/>
  <c r="L24" i="7"/>
  <c r="E5" i="14"/>
  <c r="X12" i="7"/>
  <c r="R106" i="11"/>
  <c r="E5" i="20"/>
  <c r="R26" i="11"/>
  <c r="H12" i="7"/>
  <c r="D16" i="7"/>
  <c r="R160" i="11"/>
  <c r="E21" i="19"/>
  <c r="H11" i="7"/>
  <c r="E13" i="21"/>
  <c r="AB17" i="7"/>
  <c r="R111" i="11"/>
  <c r="E10" i="14"/>
  <c r="X17" i="7"/>
  <c r="R147" i="11"/>
  <c r="E6" i="15"/>
  <c r="E17" i="15"/>
  <c r="R158" i="11"/>
  <c r="AF24" i="7"/>
  <c r="AB26" i="7"/>
  <c r="E19" i="17"/>
  <c r="R140" i="11"/>
  <c r="X14" i="7"/>
  <c r="E7" i="14"/>
  <c r="R108" i="11"/>
  <c r="E7" i="20"/>
  <c r="H14" i="7"/>
  <c r="R28" i="11"/>
  <c r="P21" i="7"/>
  <c r="R139" i="11"/>
  <c r="R75" i="11"/>
  <c r="R154" i="11"/>
  <c r="G199" i="50"/>
  <c r="E15" i="17"/>
  <c r="AJ185" i="4"/>
  <c r="AM185" i="4" s="1"/>
  <c r="AN185" i="4" s="1"/>
  <c r="G198" i="50"/>
  <c r="L9" i="7"/>
  <c r="R82" i="11"/>
  <c r="E15" i="21"/>
  <c r="AJ12" i="7"/>
  <c r="E18" i="17"/>
  <c r="R50" i="11"/>
  <c r="E10" i="18"/>
  <c r="R65" i="11"/>
  <c r="R35" i="11"/>
  <c r="H21" i="7"/>
  <c r="E11" i="14"/>
  <c r="G200" i="50"/>
  <c r="R143" i="11"/>
  <c r="AF9" i="7"/>
  <c r="E2" i="15"/>
  <c r="AB9" i="7"/>
  <c r="R123" i="11"/>
  <c r="E2" i="17"/>
  <c r="X18" i="7"/>
  <c r="R101" i="11"/>
  <c r="R122" i="11"/>
  <c r="X28" i="7"/>
  <c r="R120" i="11"/>
  <c r="E2" i="21"/>
  <c r="AJ11" i="7"/>
  <c r="E18" i="19"/>
  <c r="R56" i="11"/>
  <c r="D28" i="7"/>
  <c r="R32" i="11"/>
  <c r="R89" i="11"/>
  <c r="D18" i="7"/>
  <c r="E18" i="21"/>
  <c r="E19" i="14"/>
  <c r="R76" i="11"/>
  <c r="AF12" i="7"/>
  <c r="D21" i="7"/>
  <c r="T17" i="7"/>
  <c r="L22" i="7"/>
  <c r="P13" i="7"/>
  <c r="E16" i="16"/>
  <c r="E17" i="21"/>
  <c r="R102" i="11"/>
  <c r="E13" i="18"/>
  <c r="E4" i="20"/>
  <c r="E19" i="15"/>
  <c r="R12" i="11"/>
  <c r="E15" i="19"/>
  <c r="L15" i="7"/>
  <c r="L20" i="7"/>
  <c r="E8" i="15"/>
  <c r="E21" i="14"/>
  <c r="AB10" i="7"/>
  <c r="E11" i="13"/>
  <c r="E4" i="16"/>
  <c r="R49" i="11"/>
  <c r="D15" i="7"/>
  <c r="AF14" i="7"/>
  <c r="E2" i="20"/>
  <c r="R165" i="11"/>
  <c r="E19" i="18"/>
  <c r="E15" i="14"/>
  <c r="R148" i="11"/>
  <c r="D11" i="7"/>
  <c r="E11" i="20"/>
  <c r="E21" i="13"/>
  <c r="D14" i="7"/>
  <c r="R15" i="11"/>
  <c r="R116" i="11"/>
  <c r="R141" i="11"/>
  <c r="E16" i="19"/>
  <c r="E14" i="13"/>
  <c r="L25" i="7"/>
  <c r="AB18" i="7"/>
  <c r="T26" i="7"/>
  <c r="T20" i="7"/>
  <c r="E7" i="15"/>
  <c r="R23" i="11"/>
  <c r="E19" i="19"/>
  <c r="E3" i="15"/>
  <c r="AF20" i="7"/>
  <c r="E2" i="18"/>
  <c r="AB22" i="7"/>
  <c r="R44" i="11"/>
  <c r="D19" i="7"/>
  <c r="R177" i="11"/>
  <c r="R169" i="11"/>
  <c r="E16" i="14"/>
  <c r="X19" i="7"/>
  <c r="R13" i="11"/>
  <c r="E3" i="21"/>
  <c r="X23" i="7"/>
  <c r="D22" i="7"/>
  <c r="E15" i="13"/>
  <c r="T9" i="7"/>
  <c r="R113" i="11"/>
  <c r="E20" i="14"/>
  <c r="E13" i="20"/>
  <c r="R121" i="11"/>
  <c r="L13" i="7"/>
  <c r="E5" i="15"/>
  <c r="X27" i="7"/>
  <c r="AJ15" i="7"/>
  <c r="R144" i="11"/>
  <c r="R80" i="11"/>
  <c r="E8" i="16"/>
  <c r="E17" i="16"/>
  <c r="E6" i="21"/>
  <c r="R117" i="11"/>
  <c r="H20" i="7"/>
  <c r="R178" i="11"/>
  <c r="R16" i="11"/>
  <c r="R83" i="11"/>
  <c r="R91" i="11"/>
  <c r="T10" i="7"/>
  <c r="E18" i="20"/>
  <c r="E15" i="18"/>
  <c r="R63" i="11"/>
  <c r="E20" i="17"/>
  <c r="H22" i="7"/>
  <c r="P9" i="7"/>
  <c r="E19" i="20"/>
  <c r="H26" i="7"/>
  <c r="L19" i="7"/>
  <c r="R27" i="11"/>
  <c r="E6" i="17"/>
  <c r="R84" i="11"/>
  <c r="R40" i="11"/>
  <c r="L28" i="7"/>
  <c r="R39" i="11"/>
  <c r="R126" i="11"/>
  <c r="E19" i="13"/>
  <c r="R7" i="11"/>
  <c r="T27" i="7"/>
  <c r="H25" i="7"/>
  <c r="E4" i="15"/>
  <c r="D13" i="7"/>
  <c r="AB13" i="7"/>
  <c r="E10" i="13"/>
  <c r="E20" i="18"/>
  <c r="P16" i="7"/>
  <c r="R175" i="11"/>
  <c r="E6" i="13"/>
  <c r="T23" i="7"/>
  <c r="E18" i="15"/>
  <c r="AF11" i="7"/>
  <c r="R11" i="11"/>
  <c r="D17" i="7"/>
  <c r="AF13" i="7"/>
  <c r="R96" i="11"/>
  <c r="AF19" i="7"/>
  <c r="E15" i="20"/>
  <c r="R68" i="11"/>
  <c r="X10" i="7"/>
  <c r="R81" i="11"/>
  <c r="R153" i="11"/>
  <c r="E5" i="19"/>
  <c r="E10" i="21"/>
  <c r="E17" i="19"/>
  <c r="P12" i="7"/>
  <c r="E12" i="15"/>
  <c r="E9" i="20"/>
  <c r="AB23" i="7"/>
  <c r="R104" i="11"/>
  <c r="E7" i="17"/>
  <c r="R5" i="11"/>
  <c r="AB14" i="7"/>
  <c r="P27" i="7"/>
  <c r="X21" i="7"/>
  <c r="E11" i="16"/>
  <c r="AJ18" i="7"/>
  <c r="R29" i="11"/>
  <c r="R30" i="11"/>
  <c r="E4" i="13"/>
  <c r="E7" i="19"/>
  <c r="H13" i="7"/>
  <c r="E12" i="18"/>
  <c r="E14" i="14"/>
  <c r="L17" i="7"/>
  <c r="R45" i="11"/>
  <c r="H16" i="7"/>
  <c r="R137" i="11"/>
  <c r="R172" i="11"/>
  <c r="E6" i="20"/>
  <c r="E21" i="15"/>
  <c r="E13" i="13"/>
  <c r="E12" i="21"/>
  <c r="R78" i="11"/>
  <c r="E20" i="19"/>
  <c r="P24" i="7"/>
  <c r="H15" i="7"/>
  <c r="R115" i="11"/>
  <c r="AF28" i="7"/>
  <c r="T19" i="7"/>
  <c r="R162" i="11"/>
  <c r="R149" i="11"/>
  <c r="AJ17" i="7"/>
  <c r="R53" i="11"/>
  <c r="R128" i="11"/>
  <c r="R93" i="11"/>
  <c r="R71" i="11"/>
  <c r="R176" i="11"/>
  <c r="R95" i="11"/>
  <c r="AF16" i="7"/>
  <c r="R150" i="11"/>
  <c r="E20" i="13"/>
  <c r="R125" i="11"/>
  <c r="R52" i="11"/>
  <c r="L11" i="7"/>
  <c r="R124" i="11"/>
  <c r="R167" i="11"/>
  <c r="E19" i="16"/>
  <c r="AB28" i="7"/>
  <c r="R107" i="11"/>
  <c r="AB24" i="7"/>
  <c r="AJ19" i="7"/>
  <c r="E10" i="19"/>
  <c r="R99" i="11"/>
  <c r="P17" i="7"/>
  <c r="E21" i="18"/>
  <c r="E12" i="16"/>
  <c r="E11" i="21"/>
  <c r="P10" i="7"/>
  <c r="AJ13" i="7"/>
  <c r="R131" i="11"/>
  <c r="AB11" i="7"/>
  <c r="AJ9" i="7"/>
  <c r="R138" i="11"/>
  <c r="R21" i="11"/>
  <c r="E14" i="18"/>
  <c r="E6" i="19"/>
  <c r="H27" i="7"/>
  <c r="E3" i="17"/>
  <c r="H10" i="7"/>
  <c r="D23" i="7"/>
  <c r="E15" i="15"/>
  <c r="T14" i="7"/>
  <c r="E10" i="17"/>
  <c r="E18" i="18"/>
  <c r="AJ22" i="7"/>
  <c r="E15" i="16"/>
  <c r="R70" i="11"/>
  <c r="R67" i="11"/>
  <c r="R64" i="11"/>
  <c r="E7" i="18"/>
  <c r="R41" i="11"/>
  <c r="E16" i="13"/>
  <c r="R163" i="11"/>
  <c r="E4" i="17"/>
  <c r="R181" i="11"/>
  <c r="AJ27" i="7"/>
  <c r="E11" i="19"/>
  <c r="R156" i="11"/>
  <c r="R72" i="11"/>
  <c r="R24" i="11"/>
  <c r="R33" i="11"/>
  <c r="R10" i="11"/>
  <c r="R110" i="11"/>
  <c r="E20" i="16"/>
  <c r="E12" i="20"/>
  <c r="E6" i="14"/>
  <c r="E2" i="16"/>
  <c r="X16" i="7"/>
  <c r="P18" i="7"/>
  <c r="E3" i="20"/>
  <c r="E9" i="14"/>
  <c r="E8" i="20"/>
  <c r="AB19" i="7"/>
  <c r="AF25" i="7"/>
  <c r="R14" i="11"/>
  <c r="T13" i="7"/>
  <c r="R152" i="11"/>
  <c r="R19" i="11"/>
  <c r="H9" i="7"/>
  <c r="R171" i="11"/>
  <c r="E11" i="15"/>
  <c r="E20" i="15"/>
  <c r="R109" i="11"/>
  <c r="AJ26" i="7"/>
  <c r="R105" i="11"/>
  <c r="E14" i="16"/>
  <c r="R8" i="11"/>
  <c r="E7" i="13"/>
  <c r="E6" i="18"/>
  <c r="E9" i="15"/>
  <c r="R90" i="11"/>
  <c r="R97" i="11"/>
  <c r="E4" i="14"/>
  <c r="E21" i="21"/>
  <c r="R151" i="11"/>
  <c r="E12" i="17"/>
  <c r="X11" i="7"/>
  <c r="H17" i="7"/>
  <c r="R133" i="11"/>
  <c r="E11" i="18"/>
  <c r="T16" i="7"/>
  <c r="AF18" i="7"/>
  <c r="E18" i="13"/>
  <c r="D26" i="7"/>
  <c r="E8" i="14"/>
  <c r="R132" i="11"/>
  <c r="AF17" i="7"/>
  <c r="E16" i="18"/>
  <c r="T11" i="7"/>
  <c r="R31" i="11"/>
  <c r="AF15" i="7"/>
  <c r="E5" i="17"/>
  <c r="R73" i="11"/>
  <c r="E8" i="13"/>
  <c r="R92" i="11"/>
  <c r="E4" i="18"/>
  <c r="R161" i="11"/>
  <c r="R180" i="11"/>
  <c r="R142" i="11"/>
  <c r="E10" i="15"/>
  <c r="P19" i="7"/>
  <c r="E10" i="20"/>
  <c r="AF27" i="7"/>
  <c r="E21" i="17"/>
  <c r="X6" i="4"/>
  <c r="AA6" i="4" s="1"/>
  <c r="AD6" i="4" s="1"/>
  <c r="AG6" i="4" s="1"/>
  <c r="AJ6" i="4" s="1"/>
  <c r="AM6" i="4" s="1"/>
  <c r="AN6" i="4" l="1"/>
  <c r="AP7" i="4"/>
  <c r="E3" i="13"/>
  <c r="R4" i="11"/>
  <c r="E21" i="16"/>
  <c r="AJ28" i="7"/>
  <c r="R182" i="11"/>
  <c r="H29" i="7"/>
  <c r="H30" i="7" s="1"/>
  <c r="T23" i="11"/>
  <c r="T25" i="11" s="1"/>
  <c r="T24" i="11"/>
  <c r="D64" i="4"/>
  <c r="F64" i="4" s="1"/>
  <c r="I64" i="4" s="1"/>
  <c r="L64" i="4" s="1"/>
  <c r="O64" i="4" s="1"/>
  <c r="R64" i="4" s="1"/>
  <c r="U64" i="4" s="1"/>
  <c r="X64" i="4" s="1"/>
  <c r="AA64" i="4" s="1"/>
  <c r="AD64" i="4" s="1"/>
  <c r="AG64" i="4" s="1"/>
  <c r="AJ64" i="4" s="1"/>
  <c r="AM64" i="4" s="1"/>
  <c r="AN64" i="4" s="1"/>
  <c r="R3" i="11" l="1"/>
  <c r="E2" i="13"/>
  <c r="D9" i="7"/>
  <c r="L27" i="7"/>
  <c r="E20" i="21"/>
  <c r="R61" i="11"/>
  <c r="D173" i="4" l="1"/>
  <c r="F173" i="4" s="1"/>
  <c r="I173" i="4" s="1"/>
  <c r="L173" i="4" s="1"/>
  <c r="O173" i="4" s="1"/>
  <c r="R173" i="4" s="1"/>
  <c r="U173" i="4" s="1"/>
  <c r="X173" i="4" s="1"/>
  <c r="AA173" i="4" s="1"/>
  <c r="AD173" i="4" s="1"/>
  <c r="AG173" i="4" s="1"/>
  <c r="AJ173" i="4" s="1"/>
  <c r="AM173" i="4" s="1"/>
  <c r="AN173" i="4" s="1"/>
  <c r="AJ16" i="7" l="1"/>
  <c r="R170" i="11"/>
  <c r="E9" i="16"/>
  <c r="D51" i="4" l="1"/>
  <c r="F51" i="4" s="1"/>
  <c r="I51" i="4" s="1"/>
  <c r="L51" i="4" s="1"/>
  <c r="O51" i="4" s="1"/>
  <c r="R51" i="4" s="1"/>
  <c r="U51" i="4" s="1"/>
  <c r="X51" i="4" s="1"/>
  <c r="AA51" i="4" s="1"/>
  <c r="AD51" i="4" s="1"/>
  <c r="AG51" i="4" s="1"/>
  <c r="AJ51" i="4" s="1"/>
  <c r="AM51" i="4" s="1"/>
  <c r="AN51" i="4" s="1"/>
  <c r="L14" i="7" l="1"/>
  <c r="E7" i="21"/>
  <c r="R48" i="11"/>
  <c r="D182" i="4" l="1"/>
  <c r="F182" i="4" s="1"/>
  <c r="I182" i="4" s="1"/>
  <c r="L182" i="4" s="1"/>
  <c r="O182" i="4" s="1"/>
  <c r="R182" i="4" s="1"/>
  <c r="U182" i="4" s="1"/>
  <c r="X182" i="4" s="1"/>
  <c r="AA182" i="4" s="1"/>
  <c r="AD182" i="4" s="1"/>
  <c r="AG182" i="4" s="1"/>
  <c r="AJ182" i="4" s="1"/>
  <c r="AM182" i="4" s="1"/>
  <c r="AN182" i="4" s="1"/>
  <c r="R179" i="11" l="1"/>
  <c r="AJ25" i="7"/>
  <c r="E18" i="16"/>
  <c r="D89" i="4" l="1"/>
  <c r="F89" i="4" s="1"/>
  <c r="I89" i="4" s="1"/>
  <c r="L89" i="4" s="1"/>
  <c r="O89" i="4" s="1"/>
  <c r="R89" i="4" s="1"/>
  <c r="U89" i="4" s="1"/>
  <c r="X89" i="4" s="1"/>
  <c r="AA89" i="4" s="1"/>
  <c r="AD89" i="4" s="1"/>
  <c r="AG89" i="4" s="1"/>
  <c r="AJ89" i="4" s="1"/>
  <c r="AM89" i="4" s="1"/>
  <c r="AN89" i="4" s="1"/>
  <c r="R86" i="11" l="1"/>
  <c r="T84" i="11" s="1"/>
  <c r="T12" i="7"/>
  <c r="E5" i="18"/>
  <c r="T29" i="7" l="1"/>
  <c r="T30" i="7" s="1"/>
  <c r="T83" i="11"/>
  <c r="T85" i="11" s="1"/>
  <c r="D158" i="4" l="1"/>
  <c r="F158" i="4" s="1"/>
  <c r="I158" i="4" s="1"/>
  <c r="L158" i="4" s="1"/>
  <c r="O158" i="4" s="1"/>
  <c r="R158" i="4" s="1"/>
  <c r="U158" i="4" s="1"/>
  <c r="X158" i="4" s="1"/>
  <c r="AA158" i="4" s="1"/>
  <c r="AD158" i="4" s="1"/>
  <c r="AG158" i="4" s="1"/>
  <c r="AJ158" i="4" s="1"/>
  <c r="AM158" i="4" s="1"/>
  <c r="AN158" i="4" s="1"/>
  <c r="E14" i="15" l="1"/>
  <c r="R155" i="11"/>
  <c r="AF21" i="7"/>
  <c r="D160" i="4" l="1"/>
  <c r="F160" i="4" s="1"/>
  <c r="I160" i="4" s="1"/>
  <c r="L160" i="4" s="1"/>
  <c r="O160" i="4" s="1"/>
  <c r="R160" i="4" s="1"/>
  <c r="U160" i="4" s="1"/>
  <c r="X160" i="4" s="1"/>
  <c r="AA160" i="4" s="1"/>
  <c r="AD160" i="4" s="1"/>
  <c r="AG160" i="4" s="1"/>
  <c r="AJ160" i="4" s="1"/>
  <c r="AM160" i="4" s="1"/>
  <c r="AN160" i="4" s="1"/>
  <c r="E16" i="15" l="1"/>
  <c r="R157" i="11"/>
  <c r="T144" i="11" s="1"/>
  <c r="AF23" i="7"/>
  <c r="AF29" i="7" l="1"/>
  <c r="AF30" i="7" s="1"/>
  <c r="T143" i="11"/>
  <c r="T145" i="11" s="1"/>
  <c r="D117" i="4"/>
  <c r="F117" i="4" s="1"/>
  <c r="I117" i="4" s="1"/>
  <c r="L117" i="4" s="1"/>
  <c r="O117" i="4" s="1"/>
  <c r="R117" i="4" s="1"/>
  <c r="U117" i="4" s="1"/>
  <c r="X117" i="4" s="1"/>
  <c r="AA117" i="4" s="1"/>
  <c r="AD117" i="4" s="1"/>
  <c r="AG117" i="4" s="1"/>
  <c r="AJ117" i="4" s="1"/>
  <c r="AM117" i="4" s="1"/>
  <c r="AN117" i="4" s="1"/>
  <c r="X20" i="7" l="1"/>
  <c r="E13" i="14"/>
  <c r="R114" i="11"/>
  <c r="D21" i="4" l="1"/>
  <c r="F21" i="4" s="1"/>
  <c r="I21" i="4" s="1"/>
  <c r="L21" i="4" s="1"/>
  <c r="O21" i="4" s="1"/>
  <c r="R21" i="4" s="1"/>
  <c r="U21" i="4" s="1"/>
  <c r="X21" i="4" s="1"/>
  <c r="AA21" i="4" s="1"/>
  <c r="AD21" i="4" s="1"/>
  <c r="AG21" i="4" s="1"/>
  <c r="AJ21" i="4" s="1"/>
  <c r="AM21" i="4" s="1"/>
  <c r="AN21" i="4" s="1"/>
  <c r="AP21" i="4" s="1"/>
  <c r="E17" i="13" l="1"/>
  <c r="D24" i="7"/>
  <c r="R18" i="11"/>
  <c r="T3" i="11" s="1"/>
  <c r="T5" i="11" s="1"/>
  <c r="D29" i="7" l="1"/>
  <c r="D30" i="7" s="1"/>
  <c r="T4" i="11"/>
  <c r="D171" i="4"/>
  <c r="F171" i="4" s="1"/>
  <c r="I171" i="4" s="1"/>
  <c r="L171" i="4" s="1"/>
  <c r="O171" i="4" s="1"/>
  <c r="R171" i="4" s="1"/>
  <c r="U171" i="4" s="1"/>
  <c r="X171" i="4" s="1"/>
  <c r="AA171" i="4" s="1"/>
  <c r="AD171" i="4" s="1"/>
  <c r="AG171" i="4" s="1"/>
  <c r="AJ171" i="4" s="1"/>
  <c r="AM171" i="4" s="1"/>
  <c r="AN171" i="4" s="1"/>
  <c r="AJ14" i="7" l="1"/>
  <c r="E7" i="16"/>
  <c r="R168" i="11"/>
  <c r="D138" i="4" l="1"/>
  <c r="F138" i="4" s="1"/>
  <c r="I138" i="4" s="1"/>
  <c r="L138" i="4" s="1"/>
  <c r="O138" i="4" s="1"/>
  <c r="R138" i="4" s="1"/>
  <c r="U138" i="4" s="1"/>
  <c r="X138" i="4" s="1"/>
  <c r="AA138" i="4" s="1"/>
  <c r="AD138" i="4" s="1"/>
  <c r="AG138" i="4" s="1"/>
  <c r="AJ138" i="4" s="1"/>
  <c r="AM138" i="4" s="1"/>
  <c r="AN138" i="4" s="1"/>
  <c r="E14" i="17" l="1"/>
  <c r="R135" i="11"/>
  <c r="AB21" i="7"/>
  <c r="D167" i="4" l="1"/>
  <c r="F167" i="4" s="1"/>
  <c r="I167" i="4" s="1"/>
  <c r="L167" i="4" s="1"/>
  <c r="O167" i="4" s="1"/>
  <c r="R167" i="4" s="1"/>
  <c r="U167" i="4" s="1"/>
  <c r="X167" i="4" s="1"/>
  <c r="AA167" i="4" s="1"/>
  <c r="AD167" i="4" s="1"/>
  <c r="AG167" i="4" s="1"/>
  <c r="AJ167" i="4" s="1"/>
  <c r="AM167" i="4" s="1"/>
  <c r="AN167" i="4" s="1"/>
  <c r="AJ10" i="7" l="1"/>
  <c r="E3" i="16"/>
  <c r="R164" i="11"/>
  <c r="T163" i="11" s="1"/>
  <c r="T165" i="11" s="1"/>
  <c r="AJ29" i="7" l="1"/>
  <c r="AJ30" i="7" s="1"/>
  <c r="T164" i="11"/>
  <c r="D49" i="4" l="1"/>
  <c r="F49" i="4" s="1"/>
  <c r="I49" i="4" s="1"/>
  <c r="L49" i="4" s="1"/>
  <c r="O49" i="4" s="1"/>
  <c r="R49" i="4" s="1"/>
  <c r="U49" i="4" s="1"/>
  <c r="X49" i="4" s="1"/>
  <c r="AA49" i="4" s="1"/>
  <c r="AD49" i="4" s="1"/>
  <c r="AG49" i="4" s="1"/>
  <c r="AJ49" i="4" s="1"/>
  <c r="AM49" i="4" s="1"/>
  <c r="AN49" i="4" s="1"/>
  <c r="R46" i="11" l="1"/>
  <c r="L12" i="7"/>
  <c r="E5" i="21"/>
  <c r="D122" i="4" l="1"/>
  <c r="F122" i="4" s="1"/>
  <c r="I122" i="4" s="1"/>
  <c r="L122" i="4" s="1"/>
  <c r="O122" i="4" s="1"/>
  <c r="R122" i="4" s="1"/>
  <c r="U122" i="4" s="1"/>
  <c r="X122" i="4" s="1"/>
  <c r="AA122" i="4" s="1"/>
  <c r="AD122" i="4" s="1"/>
  <c r="AG122" i="4" s="1"/>
  <c r="AJ122" i="4" s="1"/>
  <c r="AM122" i="4" s="1"/>
  <c r="AN122" i="4" s="1"/>
  <c r="D72" i="4"/>
  <c r="F72" i="4" s="1"/>
  <c r="I72" i="4" s="1"/>
  <c r="L72" i="4" s="1"/>
  <c r="O72" i="4" s="1"/>
  <c r="R72" i="4" s="1"/>
  <c r="U72" i="4" s="1"/>
  <c r="X72" i="4" s="1"/>
  <c r="AA72" i="4" s="1"/>
  <c r="AD72" i="4" s="1"/>
  <c r="AG72" i="4" s="1"/>
  <c r="AJ72" i="4" s="1"/>
  <c r="AM72" i="4" s="1"/>
  <c r="AN72" i="4" s="1"/>
  <c r="D132" i="4"/>
  <c r="F132" i="4" s="1"/>
  <c r="I132" i="4" s="1"/>
  <c r="L132" i="4" s="1"/>
  <c r="O132" i="4" s="1"/>
  <c r="R132" i="4" s="1"/>
  <c r="U132" i="4" s="1"/>
  <c r="X132" i="4" s="1"/>
  <c r="AA132" i="4" s="1"/>
  <c r="AD132" i="4" s="1"/>
  <c r="AG132" i="4" s="1"/>
  <c r="AJ132" i="4" s="1"/>
  <c r="AM132" i="4" s="1"/>
  <c r="AN132" i="4" s="1"/>
  <c r="R69" i="11" l="1"/>
  <c r="R129" i="11"/>
  <c r="T123" i="11" s="1"/>
  <c r="T125" i="11" s="1"/>
  <c r="E8" i="17"/>
  <c r="AB15" i="7"/>
  <c r="R119" i="11"/>
  <c r="E18" i="14"/>
  <c r="X25" i="7"/>
  <c r="D63" i="4"/>
  <c r="F63" i="4" s="1"/>
  <c r="I63" i="4" s="1"/>
  <c r="L63" i="4" s="1"/>
  <c r="O63" i="4" s="1"/>
  <c r="R63" i="4" s="1"/>
  <c r="U63" i="4" s="1"/>
  <c r="X63" i="4" s="1"/>
  <c r="AA63" i="4" s="1"/>
  <c r="AD63" i="4" s="1"/>
  <c r="AG63" i="4" s="1"/>
  <c r="AJ63" i="4" s="1"/>
  <c r="AM63" i="4" s="1"/>
  <c r="AN63" i="4" s="1"/>
  <c r="AP63" i="4" s="1"/>
  <c r="P15" i="7"/>
  <c r="E8" i="19"/>
  <c r="AB29" i="7" l="1"/>
  <c r="AB30" i="7" s="1"/>
  <c r="T124" i="11"/>
  <c r="R60" i="11"/>
  <c r="L26" i="7"/>
  <c r="E19" i="21"/>
  <c r="D77" i="4" l="1"/>
  <c r="F77" i="4" s="1"/>
  <c r="I77" i="4" s="1"/>
  <c r="L77" i="4" s="1"/>
  <c r="O77" i="4" s="1"/>
  <c r="R77" i="4" s="1"/>
  <c r="U77" i="4" s="1"/>
  <c r="X77" i="4" s="1"/>
  <c r="AA77" i="4" s="1"/>
  <c r="AD77" i="4" s="1"/>
  <c r="AG77" i="4" s="1"/>
  <c r="AJ77" i="4" s="1"/>
  <c r="AM77" i="4" s="1"/>
  <c r="AN77" i="4" s="1"/>
  <c r="R74" i="11" l="1"/>
  <c r="T63" i="11" s="1"/>
  <c r="T65" i="11" s="1"/>
  <c r="P20" i="7"/>
  <c r="E13" i="19"/>
  <c r="P29" i="7" l="1"/>
  <c r="P30" i="7" s="1"/>
  <c r="T64" i="11"/>
  <c r="D58" i="4"/>
  <c r="F58" i="4" s="1"/>
  <c r="I58" i="4" s="1"/>
  <c r="L58" i="4" s="1"/>
  <c r="O58" i="4" s="1"/>
  <c r="R58" i="4" s="1"/>
  <c r="U58" i="4" s="1"/>
  <c r="X58" i="4" s="1"/>
  <c r="AA58" i="4" s="1"/>
  <c r="AD58" i="4" s="1"/>
  <c r="AG58" i="4" s="1"/>
  <c r="AJ58" i="4" s="1"/>
  <c r="AM58" i="4" s="1"/>
  <c r="AN58" i="4" s="1"/>
  <c r="R55" i="11" l="1"/>
  <c r="L21" i="7"/>
  <c r="E14" i="21"/>
  <c r="D106" i="4" l="1"/>
  <c r="F106" i="4" s="1"/>
  <c r="I106" i="4" s="1"/>
  <c r="L106" i="4" s="1"/>
  <c r="O106" i="4" s="1"/>
  <c r="R106" i="4" s="1"/>
  <c r="U106" i="4" s="1"/>
  <c r="X106" i="4" s="1"/>
  <c r="AA106" i="4" s="1"/>
  <c r="AD106" i="4" s="1"/>
  <c r="AG106" i="4" s="1"/>
  <c r="AJ106" i="4" s="1"/>
  <c r="AM106" i="4" s="1"/>
  <c r="AN106" i="4" s="1"/>
  <c r="R103" i="11" l="1"/>
  <c r="T103" i="11" s="1"/>
  <c r="T105" i="11" s="1"/>
  <c r="X9" i="7"/>
  <c r="E2" i="14"/>
  <c r="X29" i="7" l="1"/>
  <c r="X30" i="7" s="1"/>
  <c r="T104" i="11"/>
  <c r="D60" i="4" l="1"/>
  <c r="F60" i="4" s="1"/>
  <c r="I60" i="4" s="1"/>
  <c r="L60" i="4" s="1"/>
  <c r="O60" i="4" s="1"/>
  <c r="R60" i="4" s="1"/>
  <c r="U60" i="4" s="1"/>
  <c r="X60" i="4" s="1"/>
  <c r="AA60" i="4" s="1"/>
  <c r="AD60" i="4" s="1"/>
  <c r="AG60" i="4" s="1"/>
  <c r="AJ60" i="4" s="1"/>
  <c r="AM60" i="4" s="1"/>
  <c r="AN60" i="4" s="1"/>
  <c r="AP186" i="4" l="1"/>
  <c r="X46" i="7" s="1"/>
  <c r="L23" i="7"/>
  <c r="R57" i="11"/>
  <c r="T43" i="11" s="1"/>
  <c r="T45" i="11" s="1"/>
  <c r="E16" i="21"/>
  <c r="L29" i="7" l="1"/>
  <c r="T42" i="7" s="1"/>
  <c r="T44" i="11"/>
  <c r="L30" i="7" l="1"/>
  <c r="T43" i="7" s="1"/>
  <c r="V43" i="7" s="1" a="1"/>
  <c r="V43" i="7" s="1"/>
  <c r="V42" i="7" a="1"/>
  <c r="V42" i="7" s="1"/>
  <c r="T44" i="7" l="1"/>
  <c r="V44" i="7" s="1" a="1"/>
  <c r="V44" i="7" s="1"/>
  <c r="M34" i="39"/>
  <c r="M98" i="39" l="1"/>
  <c r="M21" i="39"/>
  <c r="M107" i="39"/>
  <c r="M89" i="39"/>
  <c r="M170" i="39"/>
  <c r="M6" i="39"/>
  <c r="M138" i="39"/>
  <c r="M73" i="39"/>
  <c r="M47" i="39"/>
  <c r="M123" i="39"/>
  <c r="M59" i="39"/>
  <c r="M97" i="39"/>
  <c r="M10" i="39" l="1"/>
  <c r="M106" i="39"/>
  <c r="M135" i="39"/>
  <c r="M82" i="39"/>
  <c r="M140" i="39"/>
  <c r="M160" i="39"/>
  <c r="M80" i="39"/>
  <c r="M17" i="39"/>
  <c r="M167" i="39"/>
  <c r="M104" i="39"/>
  <c r="M119" i="39"/>
  <c r="M94" i="39"/>
  <c r="M72" i="39"/>
  <c r="M55" i="39"/>
  <c r="M113" i="39"/>
  <c r="M64" i="39"/>
  <c r="M86" i="39"/>
  <c r="M19" i="39"/>
  <c r="M58" i="39"/>
  <c r="M14" i="39"/>
  <c r="M129" i="39"/>
  <c r="M116" i="39"/>
  <c r="M171" i="39"/>
  <c r="M87" i="39"/>
  <c r="M28" i="39"/>
  <c r="M51" i="39"/>
  <c r="M70" i="39"/>
  <c r="M102" i="39"/>
  <c r="M75" i="39"/>
  <c r="M23" i="39"/>
  <c r="M30" i="39"/>
  <c r="M22" i="39"/>
  <c r="M37" i="39"/>
  <c r="M154" i="39"/>
  <c r="M62" i="39"/>
  <c r="M139" i="39" l="1"/>
  <c r="M29" i="39"/>
  <c r="M41" i="39"/>
  <c r="M134" i="39"/>
  <c r="M44" i="39"/>
  <c r="M178" i="39"/>
  <c r="M67" i="39"/>
  <c r="M177" i="39"/>
  <c r="M105" i="39"/>
  <c r="M66" i="39"/>
  <c r="M9" i="39"/>
  <c r="M49" i="39"/>
  <c r="M43" i="39"/>
  <c r="M144" i="39"/>
  <c r="M56" i="39"/>
  <c r="M100" i="39"/>
  <c r="M156" i="39"/>
  <c r="M36" i="39"/>
  <c r="M161" i="39"/>
  <c r="M60" i="39"/>
  <c r="M133" i="39" l="1"/>
  <c r="M130" i="39"/>
  <c r="M145" i="39"/>
  <c r="M143" i="39"/>
  <c r="M110" i="39" l="1"/>
  <c r="M95" i="39" l="1"/>
  <c r="M25" i="39" l="1"/>
  <c r="M146" i="39" l="1"/>
  <c r="M78" i="39" l="1"/>
  <c r="M121" i="39" l="1"/>
  <c r="M79" i="39" l="1"/>
  <c r="M150" i="39"/>
  <c r="M63" i="39" l="1"/>
  <c r="M137" i="39"/>
  <c r="M111" i="39" l="1"/>
  <c r="M159" i="39" l="1"/>
  <c r="M181" i="39" l="1"/>
  <c r="M175" i="39" l="1"/>
  <c r="M109" i="39"/>
  <c r="M141" i="39"/>
  <c r="M165" i="39" l="1"/>
  <c r="M7" i="39" l="1"/>
  <c r="M172" i="39" l="1"/>
  <c r="M42" i="39" l="1"/>
  <c r="M112" i="39" l="1"/>
  <c r="M20" i="39" l="1"/>
  <c r="M122" i="39" l="1"/>
  <c r="M65" i="39" l="1"/>
  <c r="M180" i="39" l="1"/>
  <c r="M84" i="39" l="1"/>
  <c r="M38" i="39" l="1"/>
  <c r="M117" i="39" l="1"/>
  <c r="M174" i="39" l="1"/>
  <c r="M93" i="39" l="1"/>
  <c r="M4" i="39" l="1"/>
  <c r="M147" i="39" l="1"/>
  <c r="M108" i="39" l="1"/>
  <c r="M35" i="39" l="1"/>
  <c r="M155" i="39" l="1"/>
  <c r="M50" i="39" l="1"/>
  <c r="M32" i="39" l="1"/>
  <c r="M26" i="39" l="1"/>
  <c r="M162" i="39" l="1"/>
  <c r="M132" i="39" l="1"/>
  <c r="M61" i="39" l="1"/>
  <c r="M52" i="39" l="1"/>
  <c r="M126" i="39" l="1"/>
  <c r="M48" i="39" l="1"/>
  <c r="M12" i="39" l="1"/>
  <c r="M85" i="39" l="1"/>
  <c r="M153" i="39" l="1"/>
  <c r="M152" i="39" l="1"/>
  <c r="M182" i="39" l="1"/>
  <c r="M96" i="39" l="1"/>
  <c r="M40" i="39" l="1"/>
  <c r="M88" i="39" l="1"/>
  <c r="M54" i="39"/>
  <c r="M74" i="39"/>
  <c r="M68" i="39" l="1"/>
  <c r="M11" i="39" l="1"/>
  <c r="M33" i="39" l="1"/>
  <c r="M151" i="39" l="1"/>
  <c r="M77" i="39" l="1"/>
  <c r="M127" i="39" l="1"/>
  <c r="M3" i="39" l="1"/>
  <c r="M5" i="39" l="1"/>
  <c r="M136" i="39" l="1"/>
  <c r="M124" i="39" l="1"/>
  <c r="M18" i="39" l="1"/>
  <c r="M8" i="39" l="1"/>
  <c r="M164" i="39" l="1"/>
  <c r="M24" i="39" l="1"/>
  <c r="M45" i="39" l="1"/>
  <c r="M27" i="39" l="1"/>
  <c r="M15" i="39" l="1"/>
  <c r="M99" i="39" l="1"/>
  <c r="M101" i="39" l="1"/>
  <c r="M39" i="39" l="1"/>
  <c r="M31" i="39" l="1"/>
  <c r="M158" i="39" l="1"/>
  <c r="M69" i="39" l="1"/>
  <c r="M76" i="39" l="1"/>
  <c r="M173" i="39" l="1"/>
  <c r="M120" i="39" l="1"/>
  <c r="M13" i="39" l="1"/>
  <c r="M163" i="39" l="1"/>
  <c r="M81" i="39" l="1"/>
  <c r="M179" i="39" l="1"/>
  <c r="M83" i="39" l="1"/>
  <c r="M148" i="39"/>
  <c r="M157" i="39" l="1"/>
  <c r="M176" i="39" l="1"/>
  <c r="M103" i="39" l="1"/>
  <c r="M16" i="39" l="1"/>
  <c r="M57" i="39" l="1"/>
  <c r="M53" i="39" l="1"/>
  <c r="M71" i="39"/>
  <c r="M149" i="39" l="1"/>
  <c r="M166" i="39"/>
  <c r="M125" i="39"/>
  <c r="M115" i="39" l="1"/>
  <c r="M46" i="39" l="1"/>
  <c r="M169" i="39" l="1"/>
  <c r="M168" i="39" l="1"/>
  <c r="M142" i="39" l="1"/>
  <c r="M131" i="39"/>
  <c r="M128" i="39"/>
  <c r="M114" i="39" l="1"/>
  <c r="M118" i="39" l="1"/>
  <c r="M183" i="39" s="1"/>
  <c r="M1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</authors>
  <commentList>
    <comment ref="F3" authorId="0" shapeId="0" xr:uid="{B36724A9-4241-447B-8161-6BB479E90C8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</t>
        </r>
      </text>
    </comment>
    <comment ref="G3" authorId="0" shapeId="0" xr:uid="{B00FD19A-4AA5-4826-B278-E0A000DC10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3" authorId="0" shapeId="0" xr:uid="{BD0EDF25-6960-44D9-8267-3C209399D2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3" authorId="0" shapeId="0" xr:uid="{2ECC7A57-D664-4C64-A1CD-702CF9359A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3" authorId="0" shapeId="0" xr:uid="{3B0B7AD7-95DD-44B4-A905-8B355DB2A4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27/05</t>
        </r>
      </text>
    </comment>
    <comment ref="K3" authorId="0" shapeId="0" xr:uid="{9691CE3D-1DEE-4376-983A-D7F48F4AAE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29/06 S/267.47
15/07 S/100.00</t>
        </r>
      </text>
    </comment>
    <comment ref="L3" authorId="0" shapeId="0" xr:uid="{EEC72A9F-121A-4F78-9F4D-66D20E9E58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29/07</t>
        </r>
      </text>
    </comment>
    <comment ref="M3" authorId="0" shapeId="0" xr:uid="{E1D798BC-3424-4CBA-A404-E66D0520E2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N3" authorId="0" shapeId="0" xr:uid="{C4971BDB-B0D7-4AA9-BA5B-8F3CF257B9C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O3" authorId="0" shapeId="0" xr:uid="{EC38FC6E-8940-41B0-8230-EBE042FDF5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28/10</t>
        </r>
      </text>
    </comment>
    <comment ref="P3" authorId="0" shapeId="0" xr:uid="{6E7C1286-0C2D-4BEC-8DFD-D4EEA34F48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13/12</t>
        </r>
      </text>
    </comment>
    <comment ref="Q3" authorId="0" shapeId="0" xr:uid="{5F4EB3E4-BCBF-4498-9CAE-0930C7EC81C7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30/12</t>
        </r>
      </text>
    </comment>
    <comment ref="F4" authorId="0" shapeId="0" xr:uid="{F3111FB0-7C50-44F3-A495-984D3AA189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15/01</t>
        </r>
      </text>
    </comment>
    <comment ref="G4" authorId="0" shapeId="0" xr:uid="{22F220BD-611F-4882-91BF-007B5862BAC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4" authorId="0" shapeId="0" xr:uid="{05941076-D81B-4282-91DB-EF8B8AE0611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4" authorId="0" shapeId="0" xr:uid="{AFC196B4-EDD4-453B-9926-686F9B84343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</t>
        </r>
      </text>
    </comment>
    <comment ref="J4" authorId="0" shapeId="0" xr:uid="{EDCCA853-B5E5-44B3-99C3-86A794E137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05/06</t>
        </r>
      </text>
    </comment>
    <comment ref="K4" authorId="0" shapeId="0" xr:uid="{5E0D1899-023A-4DBD-9620-6003C1A3ED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L4" authorId="0" shapeId="0" xr:uid="{98B3C6BB-037E-4E5C-B29A-D7747FF646B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16/08</t>
        </r>
      </text>
    </comment>
    <comment ref="N4" authorId="0" shapeId="0" xr:uid="{8A68DA22-9187-4940-9710-FAC5185FCF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10/10</t>
        </r>
      </text>
    </comment>
    <comment ref="O4" authorId="0" shapeId="0" xr:uid="{75C9FD97-C948-4BAE-970C-DA45B5A39EA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08/11</t>
        </r>
      </text>
    </comment>
    <comment ref="P4" authorId="0" shapeId="0" xr:uid="{4834BE3D-31B5-421B-B932-E9DD84933A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19/12</t>
        </r>
      </text>
    </comment>
    <comment ref="G5" authorId="0" shapeId="0" xr:uid="{962ADC17-B93A-47A3-8FDF-C47C1A80A9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07/05</t>
        </r>
      </text>
    </comment>
    <comment ref="H5" authorId="0" shapeId="0" xr:uid="{F2C9A3CB-BE76-4407-B379-D952533B5C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J5" authorId="0" shapeId="0" xr:uid="{E33ED490-8DD3-4C78-841F-BEA6852C17F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K5" authorId="0" shapeId="0" xr:uid="{F4231CBD-0EFE-4C28-89F5-D32BF0651F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L5" authorId="0" shapeId="0" xr:uid="{846A08C9-9F43-49F9-A218-819D10C0B2C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08/08</t>
        </r>
      </text>
    </comment>
    <comment ref="M5" authorId="0" shapeId="0" xr:uid="{D3CD6892-B79C-4AAE-A090-8B320B46412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13/09</t>
        </r>
      </text>
    </comment>
    <comment ref="N5" authorId="0" shapeId="0" xr:uid="{52037668-DD51-4B55-97AA-068C4BE103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02/11</t>
        </r>
      </text>
    </comment>
    <comment ref="O5" authorId="0" shapeId="0" xr:uid="{CDCB5927-785D-477D-B00B-D4A7453E632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04/11</t>
        </r>
      </text>
    </comment>
    <comment ref="P5" authorId="0" shapeId="0" xr:uid="{C722C301-690C-49E2-9347-4E2F98341D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05/12</t>
        </r>
      </text>
    </comment>
    <comment ref="F6" authorId="0" shapeId="0" xr:uid="{B0BEC059-D92E-4CBF-9C48-8F6DC2AC2E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30/01</t>
        </r>
      </text>
    </comment>
    <comment ref="G6" authorId="0" shapeId="0" xr:uid="{5C0BCF7E-4A6C-4400-9093-158F4E7D71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6" authorId="0" shapeId="0" xr:uid="{DFB8F16D-FCEF-4495-A836-80ADF755AE8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6" authorId="0" shapeId="0" xr:uid="{B614C620-8F38-442D-B561-8676D04439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J6" authorId="0" shapeId="0" xr:uid="{8AA237F1-9F7A-43C5-A638-FF423BC0F9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03/06
</t>
        </r>
      </text>
    </comment>
    <comment ref="K6" authorId="0" shapeId="0" xr:uid="{9E29CF97-32C4-49D4-905C-B585C9D90C5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6" authorId="0" shapeId="0" xr:uid="{178F24A1-A09B-4BB0-A734-D2D5947AE0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24/07</t>
        </r>
      </text>
    </comment>
    <comment ref="M6" authorId="0" shapeId="0" xr:uid="{F2E7F221-8B60-4DAC-A4C0-F60E0137C3A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N6" authorId="0" shapeId="0" xr:uid="{6F7FDF6D-11FD-4CBA-BD6B-767A63B5D9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6" authorId="0" shapeId="0" xr:uid="{8FE1EB5F-52FE-4CA5-B8D6-7226F07B91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P6" authorId="0" shapeId="0" xr:uid="{A7B4C36B-4C23-4766-824E-23C2EC7FD2A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6" authorId="0" shapeId="0" xr:uid="{9ED3A88E-8689-473C-A443-9CC4A6FC493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26/12</t>
        </r>
      </text>
    </comment>
    <comment ref="F7" authorId="0" shapeId="0" xr:uid="{FE9A04E2-BAC7-4524-97F4-8A90030E395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</t>
        </r>
      </text>
    </comment>
    <comment ref="H7" authorId="0" shapeId="0" xr:uid="{B13FCB77-3CDE-452E-A53F-2BD526C7DDF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03/04 S/500.00
03/04 S/243.76</t>
        </r>
      </text>
    </comment>
    <comment ref="I7" authorId="0" shapeId="0" xr:uid="{08BE5E0E-C6B4-467B-BF10-1B10BEC895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27/04</t>
        </r>
      </text>
    </comment>
    <comment ref="J7" authorId="0" shapeId="0" xr:uid="{20816B71-8B4C-4846-BF09-5C80CE9999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23/05</t>
        </r>
      </text>
    </comment>
    <comment ref="K7" authorId="0" shapeId="0" xr:uid="{4D16C645-54B0-4C7A-AAAA-0A204A3A4D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25/06</t>
        </r>
      </text>
    </comment>
    <comment ref="L7" authorId="0" shapeId="0" xr:uid="{00EA7F24-076B-4213-8ADC-3C306858173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M7" authorId="0" shapeId="0" xr:uid="{511B1A7A-256E-471C-BD0E-DBC4E8301FC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N7" authorId="0" shapeId="0" xr:uid="{5A0AEF2C-FF54-4B6E-AE67-89A714EB42B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7" authorId="0" shapeId="0" xr:uid="{C39925F4-74AB-46C6-92BF-436E342310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
</t>
        </r>
      </text>
    </comment>
    <comment ref="P7" authorId="0" shapeId="0" xr:uid="{D1CBA329-A0D8-4B2B-A39E-57C862E9C7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25/11</t>
        </r>
      </text>
    </comment>
    <comment ref="G8" authorId="0" shapeId="0" xr:uid="{8D173B64-EE86-4BC3-94CA-D20AD957E1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8" authorId="0" shapeId="0" xr:uid="{EA5EC656-F89B-482D-B3E3-89CF73E29C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8" authorId="0" shapeId="0" xr:uid="{1EFE6923-7996-4443-ADE2-8598118D4B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23/04</t>
        </r>
      </text>
    </comment>
    <comment ref="J8" authorId="0" shapeId="0" xr:uid="{0FED927A-D489-4A6E-ABCE-749C111B23B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26/05</t>
        </r>
      </text>
    </comment>
    <comment ref="K8" authorId="0" shapeId="0" xr:uid="{A7228BBE-3F86-4352-8EA5-EFF68F31B2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24/06</t>
        </r>
      </text>
    </comment>
    <comment ref="L8" authorId="0" shapeId="0" xr:uid="{14EF5FDD-D43E-494C-9592-8BD04D39C9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20/07</t>
        </r>
      </text>
    </comment>
    <comment ref="M8" authorId="0" shapeId="0" xr:uid="{3E439267-DF5D-43EB-8E0A-28B1070B43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24/08</t>
        </r>
      </text>
    </comment>
    <comment ref="N8" authorId="0" shapeId="0" xr:uid="{6EFB64E7-B3C4-4D9E-BF6A-C0A1814C0E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O8" authorId="0" shapeId="0" xr:uid="{07C2B96A-F947-4586-8CC2-746E0BB940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22/10</t>
        </r>
      </text>
    </comment>
    <comment ref="P8" authorId="0" shapeId="0" xr:uid="{C9A54E15-5523-4965-B0B8-8B38AB2EBA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8" authorId="0" shapeId="0" xr:uid="{57BFCAE0-3171-4473-8CF9-A2AC42DA9B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21/12</t>
        </r>
      </text>
    </comment>
    <comment ref="F9" authorId="0" shapeId="0" xr:uid="{EBFDDB5E-C061-4296-A008-D3C9C6DA48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G9" authorId="0" shapeId="0" xr:uid="{964B25FA-86B3-47D0-A8CB-91102EF494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9" authorId="0" shapeId="0" xr:uid="{A294BE1C-3488-45E6-9266-0B81BBE9B9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9" authorId="0" shapeId="0" xr:uid="{8F1DEC05-002F-49F5-AB3E-D28BF0085C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27/04</t>
        </r>
      </text>
    </comment>
    <comment ref="J9" authorId="0" shapeId="0" xr:uid="{71B0967D-AAC8-414D-A01A-08720BCDF3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K9" authorId="0" shapeId="0" xr:uid="{46C93733-6DC9-4E31-8BC2-5E95DAC9D5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L9" authorId="0" shapeId="0" xr:uid="{B300A8CC-6DCE-43DD-9789-097A6D5D94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25/07</t>
        </r>
      </text>
    </comment>
    <comment ref="M9" authorId="0" shapeId="0" xr:uid="{FBFBA4D7-F724-4732-B415-2BC39AC897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04/09</t>
        </r>
      </text>
    </comment>
    <comment ref="N9" authorId="0" shapeId="0" xr:uid="{21712E8A-5E6B-47EA-BCD0-1B7861BE77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O9" authorId="0" shapeId="0" xr:uid="{E2A03860-F58B-4DFB-8AB3-85969EE6FDE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P9" authorId="0" shapeId="0" xr:uid="{CDD30149-378F-4434-9563-EA3E9C8813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Q9" authorId="0" shapeId="0" xr:uid="{1E76C6E4-260F-4BC7-9CDD-E5DB7A979B9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30/12</t>
        </r>
      </text>
    </comment>
    <comment ref="F10" authorId="0" shapeId="0" xr:uid="{65F88AB3-2115-4FE2-8230-4DD1449103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18/01</t>
        </r>
      </text>
    </comment>
    <comment ref="G10" authorId="0" shapeId="0" xr:uid="{D8AA719E-85D0-4A63-9EBB-CA68E44F95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21/02</t>
        </r>
      </text>
    </comment>
    <comment ref="H10" authorId="0" shapeId="0" xr:uid="{E9CDC9F1-3CD8-49B6-AB68-C15DF1E2A37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0" authorId="0" shapeId="0" xr:uid="{6DEE2920-CE1E-4843-8B28-CFE6B8925BC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10" authorId="0" shapeId="0" xr:uid="{F7DC803B-3B00-4836-8EFD-61C179B014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10" authorId="0" shapeId="0" xr:uid="{96A829DF-A1CE-46D8-8F81-5F1783BCAA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17/06</t>
        </r>
      </text>
    </comment>
    <comment ref="L10" authorId="0" shapeId="0" xr:uid="{6A2E575E-6AFB-4761-BDD4-835C921B2B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19/07</t>
        </r>
      </text>
    </comment>
    <comment ref="M10" authorId="0" shapeId="0" xr:uid="{FDD4B143-A4FB-40E2-BA13-F43F1A4FD9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10" authorId="0" shapeId="0" xr:uid="{DB3585BD-9325-4B33-ACC2-7818B0EBEB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10" authorId="0" shapeId="0" xr:uid="{DAE8A4B1-35E4-4661-A07B-C694EE954F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27/10 </t>
        </r>
      </text>
    </comment>
    <comment ref="P10" authorId="0" shapeId="0" xr:uid="{3A5554C1-2E24-45B5-8029-3480D9EE28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10" authorId="0" shapeId="0" xr:uid="{5C2249A7-CEBF-44C0-A4B6-D823DA7C4B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20/12</t>
        </r>
      </text>
    </comment>
    <comment ref="H11" authorId="0" shapeId="0" xr:uid="{B5BC4567-2F23-4A81-84EE-7D2381EBEB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 (31/08) S/795.26 - S/31.57 a la deuda 2024</t>
        </r>
      </text>
    </comment>
    <comment ref="I11" authorId="0" shapeId="0" xr:uid="{768AE3B8-65C6-4974-90D2-43CE8F0415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09/09</t>
        </r>
      </text>
    </comment>
    <comment ref="J11" authorId="0" shapeId="0" xr:uid="{87CF53D4-0A26-4A65-8347-D02B012716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26/12</t>
        </r>
      </text>
    </comment>
    <comment ref="G12" authorId="0" shapeId="0" xr:uid="{C5B0A7F4-847B-4DE7-8337-80EC49F9AD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J12" authorId="0" shapeId="0" xr:uid="{C7F35585-4484-434A-85C8-102CD4405C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" authorId="0" shapeId="0" xr:uid="{6E2FCE63-920B-4A23-8DF0-34FE639FE6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27/07</t>
        </r>
      </text>
    </comment>
    <comment ref="L12" authorId="0" shapeId="0" xr:uid="{948BCA62-B177-4688-8513-8F3FAEA1C3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27/07</t>
        </r>
      </text>
    </comment>
    <comment ref="O12" authorId="0" shapeId="0" xr:uid="{690071D7-FBD0-42FB-B57D-09769B9A42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29/10</t>
        </r>
      </text>
    </comment>
    <comment ref="F13" authorId="0" shapeId="0" xr:uid="{E41B1BEB-2FD3-4DEA-9472-E329F13508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13" authorId="0" shapeId="0" xr:uid="{A3E9C0A6-CD84-420D-9738-C6E67EA7AF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3" authorId="0" shapeId="0" xr:uid="{B21199A3-36AA-487C-87BA-AD0117BE3B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13" authorId="0" shapeId="0" xr:uid="{0A7703D2-FAA6-4F1B-AE08-2F7EB652F6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13" authorId="0" shapeId="0" xr:uid="{B3E4BE7E-590B-4600-B90A-B92C10E9B13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22/05</t>
        </r>
      </text>
    </comment>
    <comment ref="K13" authorId="0" shapeId="0" xr:uid="{B83DA962-09EE-4427-A5B8-5860AF0453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20/06</t>
        </r>
      </text>
    </comment>
    <comment ref="L13" authorId="0" shapeId="0" xr:uid="{98B8AD65-898C-4FA2-95E8-8CA1AC1D8F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21/07</t>
        </r>
      </text>
    </comment>
    <comment ref="M13" authorId="0" shapeId="0" xr:uid="{14933D65-531F-4364-BEEF-8AC8FF09A1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N13" authorId="0" shapeId="0" xr:uid="{616E54AC-10F1-4206-9AA8-4341FB4340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O13" authorId="0" shapeId="0" xr:uid="{E0619ABF-672F-4005-A812-E793DCD8E2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22/10</t>
        </r>
      </text>
    </comment>
    <comment ref="P13" authorId="0" shapeId="0" xr:uid="{48FE6A88-67B3-4476-A397-1460493275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13" authorId="0" shapeId="0" xr:uid="{FF817FEE-07A8-49D8-86E2-ABF7AA0B57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22/12</t>
        </r>
      </text>
    </comment>
    <comment ref="F14" authorId="0" shapeId="0" xr:uid="{5C0F126C-D710-4490-9B92-9756B97297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14" authorId="0" shapeId="0" xr:uid="{2CE891E1-E419-4E6E-B672-3A80F6942F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14" authorId="0" shapeId="0" xr:uid="{803225DF-23B7-4444-AE7A-AD59CEBE16A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05/04</t>
        </r>
      </text>
    </comment>
    <comment ref="I14" authorId="0" shapeId="0" xr:uid="{E26D9E18-9449-4311-93B2-79840EC031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14" authorId="0" shapeId="0" xr:uid="{0537229C-4885-4F19-912C-F2B4CD4102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13/06</t>
        </r>
      </text>
    </comment>
    <comment ref="K14" authorId="0" shapeId="0" xr:uid="{CF888AC0-870E-49DB-92E2-119CB70861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03/07</t>
        </r>
      </text>
    </comment>
    <comment ref="L14" authorId="0" shapeId="0" xr:uid="{D3156B89-2CDA-47A8-BCFC-E659E4B561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29/07</t>
        </r>
      </text>
    </comment>
    <comment ref="M14" authorId="0" shapeId="0" xr:uid="{0BCC469D-CE8D-458D-B593-2F956D08EA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07/09</t>
        </r>
      </text>
    </comment>
    <comment ref="N14" authorId="0" shapeId="0" xr:uid="{2E5F9BCC-5792-411C-B3BC-8670104D0BA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</t>
        </r>
      </text>
    </comment>
    <comment ref="P14" authorId="0" shapeId="0" xr:uid="{8E041061-55AB-46E5-89B1-FE19CA0E35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23/11</t>
        </r>
      </text>
    </comment>
    <comment ref="I15" authorId="0" shapeId="0" xr:uid="{2570B7A1-D32B-434C-9D5C-CDB1CC6BC3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03/06</t>
        </r>
      </text>
    </comment>
    <comment ref="K15" authorId="0" shapeId="0" xr:uid="{38A27678-DB67-42DC-A9A6-2566229B0E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09/08</t>
        </r>
      </text>
    </comment>
    <comment ref="L15" authorId="0" shapeId="0" xr:uid="{A2410AD7-53B7-4A69-B5EA-34E41ED63E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P15" authorId="0" shapeId="0" xr:uid="{C33810D6-CF27-468F-AAD0-BEF0296642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04/12</t>
        </r>
      </text>
    </comment>
    <comment ref="F16" authorId="0" shapeId="0" xr:uid="{FDA14C86-60B2-4881-92B8-169406AC49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
CO 76353154</t>
        </r>
      </text>
    </comment>
    <comment ref="H16" authorId="0" shapeId="0" xr:uid="{969671C3-056E-4B5B-930F-E315F41499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12/04</t>
        </r>
      </text>
    </comment>
    <comment ref="I16" authorId="0" shapeId="0" xr:uid="{E8967A66-2531-4559-BBAB-E89E9A3F14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J16" authorId="0" shapeId="0" xr:uid="{ED23FBE5-2F2F-4D87-832E-A347887824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16" authorId="0" shapeId="0" xr:uid="{AD02D938-C066-464F-9B02-FF593822A7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16" authorId="0" shapeId="0" xr:uid="{18F9F828-914A-4191-A11F-AD72F800E6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19/07</t>
        </r>
      </text>
    </comment>
    <comment ref="M16" authorId="0" shapeId="0" xr:uid="{82582DB5-4755-42D9-9F6C-6A102803451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16/08</t>
        </r>
      </text>
    </comment>
    <comment ref="N16" authorId="0" shapeId="0" xr:uid="{C1480846-6A01-45B8-8E6C-0B5ECCF241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16" authorId="0" shapeId="0" xr:uid="{99C91875-7EEF-4FBF-9487-83BE06DC8D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P16" authorId="0" shapeId="0" xr:uid="{60022D72-8D5B-4654-AE6D-B6438C0096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16" authorId="0" shapeId="0" xr:uid="{5A9A92F5-7843-41D4-A07F-20CCA55395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17" authorId="0" shapeId="0" xr:uid="{1A4F48F2-406B-49A8-83A4-74E1F3AEE4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24/01</t>
        </r>
      </text>
    </comment>
    <comment ref="G17" authorId="0" shapeId="0" xr:uid="{1A78F29E-AAD7-46D3-8CE0-6DA23CCA13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7" authorId="0" shapeId="0" xr:uid="{3D7E4649-0C5A-4FE4-BCBD-2AA321965E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22/03 </t>
        </r>
      </text>
    </comment>
    <comment ref="I17" authorId="0" shapeId="0" xr:uid="{C3DE2DB3-3168-4685-B50C-F92DF10ADB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</t>
        </r>
      </text>
    </comment>
    <comment ref="J17" authorId="0" shapeId="0" xr:uid="{66CEA694-D3A7-48A6-AC82-769E6AB460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17/08</t>
        </r>
      </text>
    </comment>
    <comment ref="M17" authorId="0" shapeId="0" xr:uid="{F4631840-9B1A-4765-AAF9-8FF76DDCCE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N17" authorId="0" shapeId="0" xr:uid="{84934C31-7A11-4318-A4DC-C7FEB3BFEF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17" authorId="0" shapeId="0" xr:uid="{0BA2AEAC-332D-42E2-88FC-935ED9A89A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26/09 183.70 (mitad mes de Inquilino dejo Dpto.) </t>
        </r>
      </text>
    </comment>
    <comment ref="Q17" authorId="0" shapeId="0" xr:uid="{381A3546-12D7-4107-8685-936865A9792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20/12</t>
        </r>
      </text>
    </comment>
    <comment ref="F18" authorId="0" shapeId="0" xr:uid="{18ADDBC5-7F11-477F-8629-D34F348F72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07/02/25 S/320.00</t>
        </r>
      </text>
    </comment>
    <comment ref="G18" authorId="0" shapeId="0" xr:uid="{14339831-C157-4AF4-AF48-2139D20A3D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05/03 S/50.00
22/03 S/320.00</t>
        </r>
      </text>
    </comment>
    <comment ref="H18" authorId="0" shapeId="0" xr:uid="{24C57ABE-24C0-4561-8C12-5CA745A65E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04/04 S/60.00
23/04 S/320.00</t>
        </r>
      </text>
    </comment>
    <comment ref="I18" authorId="0" shapeId="0" xr:uid="{7E784BB8-DA3C-4F5A-A583-302504B9BD5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04/05 S/70.00
06/05 S/280.00</t>
        </r>
      </text>
    </comment>
    <comment ref="J18" authorId="0" shapeId="0" xr:uid="{514270BF-CD06-4469-A06E-F43DF6B193F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 S/310.00
29/05 S/100.00
14/06 S/50.00</t>
        </r>
      </text>
    </comment>
    <comment ref="K18" authorId="0" shapeId="0" xr:uid="{4D434850-901B-42C5-B7BD-8AEBA36A5F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05/07 S/70.00
05/07 S/310.00
</t>
        </r>
      </text>
    </comment>
    <comment ref="L18" authorId="0" shapeId="0" xr:uid="{75E0CA6D-437E-442F-BC41-155A1F916C4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03/08 S/70.00
13/08 S/320.00</t>
        </r>
      </text>
    </comment>
    <comment ref="M18" authorId="0" shapeId="0" xr:uid="{4193C417-57BE-4727-8111-635A1351E32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14/09 S/45.00
16/09 S/320.00</t>
        </r>
      </text>
    </comment>
    <comment ref="O18" authorId="0" shapeId="0" xr:uid="{9C6C676E-137D-4E22-B979-63442D3150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P18" authorId="0" shapeId="0" xr:uid="{EDA9E606-5B29-4B8A-8A17-C1C1155C15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15/12 S/80.00</t>
        </r>
      </text>
    </comment>
    <comment ref="Q18" authorId="0" shapeId="0" xr:uid="{DA3A4D65-24DB-4FA6-82B1-A29C4C57C787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28/12 S/640.00
04/01 S/80.00</t>
        </r>
      </text>
    </comment>
    <comment ref="F19" authorId="0" shapeId="0" xr:uid="{0B675007-F31F-4930-9FC1-03EDF3C47B7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24/01</t>
        </r>
      </text>
    </comment>
    <comment ref="G19" authorId="0" shapeId="0" xr:uid="{66532765-112B-4EA2-A849-8C4439F64E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9" authorId="0" shapeId="0" xr:uid="{2326A78F-8E14-43A2-A9AE-B1DFA5CA2E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19" authorId="0" shapeId="0" xr:uid="{C237723B-634E-4E87-9BF8-6A8F5CA880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J19" authorId="0" shapeId="0" xr:uid="{0384A9B7-F35B-402D-982B-66C9181DA2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07/06</t>
        </r>
      </text>
    </comment>
    <comment ref="L19" authorId="0" shapeId="0" xr:uid="{5C52F186-296C-4C77-AF84-68C48DA13A0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01/08</t>
        </r>
      </text>
    </comment>
    <comment ref="M19" authorId="0" shapeId="0" xr:uid="{F3C54F77-5DB7-4089-9621-AA50918116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28/08</t>
        </r>
      </text>
    </comment>
    <comment ref="N19" authorId="0" shapeId="0" xr:uid="{5DEFE771-D192-485D-89FB-C16314F5E1F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06/10</t>
        </r>
      </text>
    </comment>
    <comment ref="P19" authorId="0" shapeId="0" xr:uid="{D4A1EE89-F618-4B94-9007-48A5A7BDB5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11/12</t>
        </r>
      </text>
    </comment>
    <comment ref="F20" authorId="0" shapeId="0" xr:uid="{723BCB56-D4F9-425E-B715-E022ADEA401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19/01</t>
        </r>
      </text>
    </comment>
    <comment ref="G20" authorId="0" shapeId="0" xr:uid="{FA343962-69F6-4610-B151-96699C5EA9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20" authorId="0" shapeId="0" xr:uid="{8FD3CFFA-2530-4A6B-8978-B4E60FE9CB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20" authorId="0" shapeId="0" xr:uid="{A4023FAA-5E4C-411D-BB38-30C6548685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J20" authorId="0" shapeId="0" xr:uid="{BFA96E20-3805-483E-9F74-3B324A01F30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20" authorId="0" shapeId="0" xr:uid="{7BEB14AA-9A1E-4322-97B0-41ED32C772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16/06</t>
        </r>
      </text>
    </comment>
    <comment ref="L20" authorId="0" shapeId="0" xr:uid="{9896BC7A-4433-4A6A-9A09-12151C6C19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17/07</t>
        </r>
      </text>
    </comment>
    <comment ref="M20" authorId="0" shapeId="0" xr:uid="{767ED5A4-2ADD-42DE-B81D-EEA623B146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20" authorId="0" shapeId="0" xr:uid="{A7EF2D59-40B9-4B9D-908C-3DB6DADA3D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16/09</t>
        </r>
      </text>
    </comment>
    <comment ref="O20" authorId="0" shapeId="0" xr:uid="{99F5D869-7FEC-4605-860B-EC6DA4F074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19/10 </t>
        </r>
      </text>
    </comment>
    <comment ref="P20" authorId="0" shapeId="0" xr:uid="{088E8B49-AEEA-4CB8-98AC-16864DC554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20" authorId="0" shapeId="0" xr:uid="{F1B3325F-4421-4ECD-B292-01D023A70DE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21" authorId="0" shapeId="0" xr:uid="{7D1FF71D-57A5-4114-9380-F699070B22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15/01</t>
        </r>
      </text>
    </comment>
    <comment ref="G21" authorId="0" shapeId="0" xr:uid="{3287426A-6FC9-4A7A-9732-2A5746B228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13/02</t>
        </r>
      </text>
    </comment>
    <comment ref="H21" authorId="0" shapeId="0" xr:uid="{6B62A405-860D-4875-A884-5CF7554F82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15/03 S/350.00
20/03 S/100.00</t>
        </r>
      </text>
    </comment>
    <comment ref="I21" authorId="0" shapeId="0" xr:uid="{1986AE7B-CDBF-4D13-AFA2-2F9E95E3C2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J21" authorId="0" shapeId="0" xr:uid="{E2B2B98E-4DBB-4F8B-940C-9EDE7157A0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14/05</t>
        </r>
      </text>
    </comment>
    <comment ref="K21" authorId="0" shapeId="0" xr:uid="{31416C43-9050-4897-8033-862D1D8A341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12/06</t>
        </r>
      </text>
    </comment>
    <comment ref="L21" authorId="0" shapeId="0" xr:uid="{75C1CDE5-534A-4BE7-A034-681B27BEB8E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11/07</t>
        </r>
      </text>
    </comment>
    <comment ref="M21" authorId="0" shapeId="0" xr:uid="{BF510837-5787-4C68-BE6B-8341B2A0E1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14/08</t>
        </r>
      </text>
    </comment>
    <comment ref="N21" authorId="0" shapeId="0" xr:uid="{986E1AB7-6ED7-4833-8E68-175EF64ACCD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11/09</t>
        </r>
      </text>
    </comment>
    <comment ref="O21" authorId="0" shapeId="0" xr:uid="{0B28B62C-838B-4B13-B96B-AE82C2629F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14/10</t>
        </r>
      </text>
    </comment>
    <comment ref="P21" authorId="0" shapeId="0" xr:uid="{D391C848-BC25-4DCC-8442-0BA2C77BA0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13/11</t>
        </r>
      </text>
    </comment>
    <comment ref="Q21" authorId="0" shapeId="0" xr:uid="{0C7F6308-F7A6-4C3F-9264-8D30031AE4D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11/12</t>
        </r>
      </text>
    </comment>
    <comment ref="F22" authorId="0" shapeId="0" xr:uid="{846B4CD6-CCC6-4800-A10E-FCF91860931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22" authorId="0" shapeId="0" xr:uid="{2939C98B-C91A-485F-A1F0-84D7E120C7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22" authorId="0" shapeId="0" xr:uid="{20BE82F3-A83A-4673-9377-F08F45D05F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22" authorId="0" shapeId="0" xr:uid="{60D52862-18FB-4990-97BE-2E3423C815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J22" authorId="0" shapeId="0" xr:uid="{F0F8DD63-3DBC-4E0F-8EAF-95648A82FD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19/05</t>
        </r>
      </text>
    </comment>
    <comment ref="K22" authorId="0" shapeId="0" xr:uid="{2B6DDFE6-A374-441E-A509-ED63617B1CB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22" authorId="0" shapeId="0" xr:uid="{BA827002-BA41-4E97-9D03-5CB0540AA15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22" authorId="0" shapeId="0" xr:uid="{12978219-71F4-4A8A-9851-FE65274C49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22" authorId="0" shapeId="0" xr:uid="{A8873C46-B9C9-418A-A422-74E697749C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22" authorId="0" shapeId="0" xr:uid="{537A80EC-878A-47C9-9CF4-3484CD4EEC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18/10</t>
        </r>
      </text>
    </comment>
    <comment ref="P22" authorId="0" shapeId="0" xr:uid="{15B65995-3086-434E-AAF4-4ECBDEABDB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22" authorId="0" shapeId="0" xr:uid="{FF701A0A-C922-446C-91E5-A205BE6FC0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23" authorId="0" shapeId="0" xr:uid="{E87FEF77-225E-43C1-A8F5-41A77960A4C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</t>
        </r>
      </text>
    </comment>
    <comment ref="G23" authorId="0" shapeId="0" xr:uid="{0B20B664-AD79-4BED-840C-E07EFABD01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23" authorId="0" shapeId="0" xr:uid="{60D5ADF3-1460-4E15-89D4-2C5FE54F9B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23" authorId="0" shapeId="0" xr:uid="{003884AA-50AC-4483-87F0-02EC1D5F4D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</t>
        </r>
      </text>
    </comment>
    <comment ref="J23" authorId="0" shapeId="0" xr:uid="{9DC83EF8-6D7A-4156-A11E-122E396624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09/06</t>
        </r>
      </text>
    </comment>
    <comment ref="K23" authorId="0" shapeId="0" xr:uid="{DB804919-20FF-48A5-90B7-05B4121501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02/07</t>
        </r>
      </text>
    </comment>
    <comment ref="M23" authorId="0" shapeId="0" xr:uid="{F1DEA9EF-D73B-427A-A68A-49ADAF280A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02/09</t>
        </r>
      </text>
    </comment>
    <comment ref="N23" authorId="0" shapeId="0" xr:uid="{8EA61CB6-2C6A-4B27-836D-749E9A37726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</t>
        </r>
      </text>
    </comment>
    <comment ref="O23" authorId="0" shapeId="0" xr:uid="{BCC4011C-116F-4493-90D2-EEEF4FEB05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23" authorId="0" shapeId="0" xr:uid="{F6A4EFE6-3EFD-41A5-96F9-C007008F1E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23" authorId="0" shapeId="0" xr:uid="{B81E12A6-351B-4EE4-827E-EE67F49F86EE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27/12</t>
        </r>
      </text>
    </comment>
    <comment ref="H24" authorId="0" shapeId="0" xr:uid="{76902AE9-2253-4B08-ABC2-B6151A542F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04/06</t>
        </r>
      </text>
    </comment>
    <comment ref="I24" authorId="0" shapeId="0" xr:uid="{70AE5DF8-A4C7-423D-80F2-434DAFA20C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F25" authorId="0" shapeId="0" xr:uid="{CF91FC78-2DA9-4B25-8239-2680A8C0B4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25" authorId="0" shapeId="0" xr:uid="{07834A2F-1507-407D-93FA-D14BE4EA5C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H25" authorId="0" shapeId="0" xr:uid="{8E6870F2-539A-4472-B289-16CB06F38A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25" authorId="0" shapeId="0" xr:uid="{379A740B-0781-4E26-A781-46BA2F2D77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26/05</t>
        </r>
      </text>
    </comment>
    <comment ref="K25" authorId="0" shapeId="0" xr:uid="{0DA8CB5C-CD4E-4E8B-8B9A-3DC9853A857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21/06</t>
        </r>
      </text>
    </comment>
    <comment ref="L25" authorId="0" shapeId="0" xr:uid="{E6C5A58D-A823-4EE3-B11F-0C3FEB1530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20/07</t>
        </r>
      </text>
    </comment>
    <comment ref="M25" authorId="0" shapeId="0" xr:uid="{FA9B7E78-22D6-494A-9CF1-F1B0F57C8B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25" authorId="0" shapeId="0" xr:uid="{0FD583B1-3F1C-40D0-85EA-D750F99218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25" authorId="0" shapeId="0" xr:uid="{25F6717B-2784-4F90-931D-65831C51C9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20/10</t>
        </r>
      </text>
    </comment>
    <comment ref="P25" authorId="0" shapeId="0" xr:uid="{82FDC866-DABB-4E69-BA25-929C85ACAB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25" authorId="0" shapeId="0" xr:uid="{AFCEFC7F-C758-4437-AF63-81691EFBE5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26" authorId="0" shapeId="0" xr:uid="{6158BF76-82FD-42CE-93F1-77511F17A5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26" authorId="0" shapeId="0" xr:uid="{379CAC95-C7CA-46AC-94D3-606A4507AD8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26" authorId="0" shapeId="0" xr:uid="{0D2666B8-0141-4841-89D6-B01AC0A868A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26" authorId="0" shapeId="0" xr:uid="{4BDE15E6-0729-42EB-804C-506EEA305C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18/04</t>
        </r>
      </text>
    </comment>
    <comment ref="J26" authorId="0" shapeId="0" xr:uid="{03E2E5AE-3E6F-47EC-AF11-9477E8B231F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17/05</t>
        </r>
      </text>
    </comment>
    <comment ref="K26" authorId="0" shapeId="0" xr:uid="{31E87F0F-542E-40E3-ADD3-5DB0C249C0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26" authorId="0" shapeId="0" xr:uid="{2007E36C-4880-45D2-8964-994C7518F5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M26" authorId="0" shapeId="0" xr:uid="{D9005ACB-83DF-4D5F-83D1-3F6CFFA453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26" authorId="0" shapeId="0" xr:uid="{8F2F750F-4F8B-4BD9-90C9-5834DA0AD4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20/09</t>
        </r>
      </text>
    </comment>
    <comment ref="O26" authorId="0" shapeId="0" xr:uid="{C3E5A2C5-353E-4B70-93F9-1E5BE41D511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P26" authorId="0" shapeId="0" xr:uid="{13D49DF3-9BE6-48AB-8320-12B13C20B7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21/11</t>
        </r>
      </text>
    </comment>
    <comment ref="Q26" authorId="0" shapeId="0" xr:uid="{6D7A08BA-1B76-45F7-9455-182BA256BD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21/12</t>
        </r>
      </text>
    </comment>
    <comment ref="F27" authorId="0" shapeId="0" xr:uid="{3DC5C25B-31CB-4C74-A128-9672D59C66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 S/500.00 -1.95 Dic24
</t>
        </r>
      </text>
    </comment>
    <comment ref="G27" authorId="0" shapeId="0" xr:uid="{D8C39CBD-90F4-426E-ABD3-F8342AE578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27" authorId="0" shapeId="0" xr:uid="{BAA70743-CA3B-4110-9D8F-4EDB63A066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K27" authorId="0" shapeId="0" xr:uid="{D12134D0-1B78-4504-8424-90B9795246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03/07</t>
        </r>
      </text>
    </comment>
    <comment ref="L27" authorId="0" shapeId="0" xr:uid="{F1435635-2924-43A4-9FE0-E7A6017065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30/07</t>
        </r>
      </text>
    </comment>
    <comment ref="N27" authorId="0" shapeId="0" xr:uid="{53054ED9-610F-4EC8-92A3-7427C098F8D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20/09</t>
        </r>
      </text>
    </comment>
    <comment ref="O27" authorId="0" shapeId="0" xr:uid="{11EDD948-C14D-4042-A408-6FB0EFB5BD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G28" authorId="0" shapeId="0" xr:uid="{1DC1926D-6872-447D-934B-D91B26DDC4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21/02</t>
        </r>
      </text>
    </comment>
    <comment ref="I28" authorId="0" shapeId="0" xr:uid="{7329F4C5-15EC-4DA3-83A7-B042A88173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K28" authorId="0" shapeId="0" xr:uid="{BD7DFB5C-6940-427F-AF41-1F06E5ED8C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02/07</t>
        </r>
      </text>
    </comment>
    <comment ref="M28" authorId="0" shapeId="0" xr:uid="{0E0E23BC-9B7A-43F3-BEE8-CA3AE824922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11/09</t>
        </r>
      </text>
    </comment>
    <comment ref="O28" authorId="0" shapeId="0" xr:uid="{1CE4930E-BF8D-4FD8-876D-A0699C0D03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04/11</t>
        </r>
      </text>
    </comment>
    <comment ref="F29" authorId="0" shapeId="0" xr:uid="{A749CD00-05E6-469B-8D5A-42415FD360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G29" authorId="0" shapeId="0" xr:uid="{F8F70B3E-82EF-4E74-A8A2-24F822DF1C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H29" authorId="0" shapeId="0" xr:uid="{AC122004-CDA7-47B1-97E0-DB7F5424AA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I29" authorId="0" shapeId="0" xr:uid="{FC16E954-0E43-415C-B892-4A87DB1E62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 S/500.00
19/06 S/100.00</t>
        </r>
      </text>
    </comment>
    <comment ref="J29" authorId="0" shapeId="0" xr:uid="{CF1C02D0-AD4D-4B9A-AAEF-FA1AC8892C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27/06</t>
        </r>
      </text>
    </comment>
    <comment ref="K29" authorId="0" shapeId="0" xr:uid="{D92F25BD-19C3-48F1-904E-E1AC75AEF1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L29" authorId="0" shapeId="0" xr:uid="{14AB1934-1540-4BD3-80F5-722FA7CA60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
</t>
        </r>
      </text>
    </comment>
    <comment ref="M29" authorId="0" shapeId="0" xr:uid="{27A37521-68B9-426A-8BFE-86362EA247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23/08</t>
        </r>
      </text>
    </comment>
    <comment ref="O29" authorId="0" shapeId="0" xr:uid="{CA679D6C-B47B-4012-A1DB-9AD6B61B724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05/11 S/100.00
05/11 S/500.00</t>
        </r>
      </text>
    </comment>
    <comment ref="P29" authorId="0" shapeId="0" xr:uid="{F3035210-3BD9-4A96-85B4-9E713D74C1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05/12 S/500.00
06/12 S/52.06</t>
        </r>
      </text>
    </comment>
    <comment ref="F30" authorId="0" shapeId="0" xr:uid="{0DEEDF77-2EB4-48FE-8973-02D8B24094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04/02</t>
        </r>
      </text>
    </comment>
    <comment ref="G30" authorId="0" shapeId="0" xr:uid="{1D6DCED9-F6F3-476E-BCA5-9DFE8A4581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30" authorId="0" shapeId="0" xr:uid="{511BB4DD-51E3-4426-B6A4-14F33E2C90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30" authorId="0" shapeId="0" xr:uid="{5DE9A48B-271A-461B-9BDB-758620DFC58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27/04</t>
        </r>
      </text>
    </comment>
    <comment ref="J30" authorId="0" shapeId="0" xr:uid="{51A97BD1-875A-4BF3-90C7-E317611974C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03/06</t>
        </r>
      </text>
    </comment>
    <comment ref="K30" authorId="0" shapeId="0" xr:uid="{45A77E84-81FA-43FF-BD6B-7FE96C572B0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02/07</t>
        </r>
      </text>
    </comment>
    <comment ref="L30" authorId="0" shapeId="0" xr:uid="{9D990696-BCAC-42B8-B32F-5633540028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28/07</t>
        </r>
      </text>
    </comment>
    <comment ref="M30" authorId="0" shapeId="0" xr:uid="{4D7F987F-FEF4-41B3-95C9-E8F65F4817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27/08</t>
        </r>
      </text>
    </comment>
    <comment ref="N30" authorId="0" shapeId="0" xr:uid="{4133A182-7BA1-48D8-9EF8-E06C41890F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02/10</t>
        </r>
      </text>
    </comment>
    <comment ref="O30" authorId="0" shapeId="0" xr:uid="{27CDE5A1-ED47-4225-B953-F218464C76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30" authorId="0" shapeId="0" xr:uid="{EE51572D-06DA-4625-BC02-7C80FA2C577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J31" authorId="0" shapeId="0" xr:uid="{0EC3E30B-69C6-4660-8193-CC801FC739B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05/06</t>
        </r>
      </text>
    </comment>
    <comment ref="M31" authorId="0" shapeId="0" xr:uid="{4DBB9C9D-F54D-4B19-B219-701A6D8DFE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F32" authorId="0" shapeId="0" xr:uid="{22A0EDD3-6842-4028-8211-5FD20A4C99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32" authorId="0" shapeId="0" xr:uid="{2856783A-97FD-434C-B7AD-042ABE3223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06/03</t>
        </r>
      </text>
    </comment>
    <comment ref="H32" authorId="0" shapeId="0" xr:uid="{A205BE80-8DCC-4ADB-8C8B-B2D6F88BEB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32" authorId="0" shapeId="0" xr:uid="{6E3B827E-D6D0-4F03-A117-ACA3ED5CDFE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J32" authorId="0" shapeId="0" xr:uid="{3E6C3BC7-199A-40EA-8A0B-26B8471E98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01/06</t>
        </r>
      </text>
    </comment>
    <comment ref="K32" authorId="0" shapeId="0" xr:uid="{1B656615-592E-44BC-9080-50D8E90348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L32" authorId="0" shapeId="0" xr:uid="{69040E5A-CA2F-4E3F-BD41-4F5F3B450E7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02/08</t>
        </r>
      </text>
    </comment>
    <comment ref="M32" authorId="0" shapeId="0" xr:uid="{C4B33CEF-8856-401E-ABCA-664DE0280B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</t>
        </r>
      </text>
    </comment>
    <comment ref="N32" authorId="0" shapeId="0" xr:uid="{D21D48CC-25F6-46E4-A423-43595820482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02/10</t>
        </r>
      </text>
    </comment>
    <comment ref="O32" authorId="0" shapeId="0" xr:uid="{DB25A75D-7F11-46DB-B04F-0F46117155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P32" authorId="0" shapeId="0" xr:uid="{15F7DF61-B048-4780-A8B9-1C14F6CFB5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29/11</t>
        </r>
      </text>
    </comment>
    <comment ref="Q32" authorId="0" shapeId="0" xr:uid="{318808C4-85B0-475C-B4EE-C84AE2A970AB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01/01/26</t>
        </r>
      </text>
    </comment>
    <comment ref="F33" authorId="0" shapeId="0" xr:uid="{007A4A81-B8F1-4B65-816D-EC3B0E253A9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04/02</t>
        </r>
      </text>
    </comment>
    <comment ref="G33" authorId="0" shapeId="0" xr:uid="{17FB608B-AD0D-49B1-A51E-2F1D0008FD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04/04</t>
        </r>
      </text>
    </comment>
    <comment ref="H33" authorId="0" shapeId="0" xr:uid="{AD76F723-1C07-4BC1-AD87-567F6C500E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04/04</t>
        </r>
      </text>
    </comment>
    <comment ref="I33" authorId="0" shapeId="0" xr:uid="{D9294241-D2E5-4CE5-99CD-A083DC124D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01/05</t>
        </r>
      </text>
    </comment>
    <comment ref="J33" authorId="0" shapeId="0" xr:uid="{8CC9E3F5-7EAC-4C1A-AC4C-3A0647453B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04/06</t>
        </r>
      </text>
    </comment>
    <comment ref="K33" authorId="0" shapeId="0" xr:uid="{2E0DD26D-6AD7-45F7-BBE4-3E965F1973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14/07</t>
        </r>
      </text>
    </comment>
    <comment ref="L33" authorId="0" shapeId="0" xr:uid="{A1BE4BA1-D93A-47F9-A60C-5614A331DB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03/09</t>
        </r>
      </text>
    </comment>
    <comment ref="M33" authorId="0" shapeId="0" xr:uid="{765FA627-B677-4BED-BA0C-16007F10CF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03/09</t>
        </r>
      </text>
    </comment>
    <comment ref="N33" authorId="0" shapeId="0" xr:uid="{454E532D-A24B-499A-8980-96F016E1A8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</t>
        </r>
      </text>
    </comment>
    <comment ref="O33" authorId="0" shapeId="0" xr:uid="{710070F2-E6A8-4288-A9B5-01F04296CC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02/11</t>
        </r>
      </text>
    </comment>
    <comment ref="P33" authorId="0" shapeId="0" xr:uid="{B986368E-FE22-4A85-ACD1-0695890B76F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12/12</t>
        </r>
      </text>
    </comment>
    <comment ref="Q33" authorId="0" shapeId="0" xr:uid="{CB5C92BA-52C7-437E-9F4C-E35816AE677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03/01</t>
        </r>
      </text>
    </comment>
    <comment ref="F34" authorId="0" shapeId="0" xr:uid="{8E738203-8AE1-46C7-9142-69F80B06EEB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34" authorId="0" shapeId="0" xr:uid="{655D367A-0EF1-42FA-B1FE-7904C94010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34" authorId="0" shapeId="0" xr:uid="{196DAADB-2123-4327-8B0B-87698D242E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34" authorId="0" shapeId="0" xr:uid="{8FAE1F80-4939-43F1-A674-2367C53ACD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34" authorId="0" shapeId="0" xr:uid="{36AC434A-8284-49A5-9158-C2CE883CC8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01/06</t>
        </r>
      </text>
    </comment>
    <comment ref="K34" authorId="0" shapeId="0" xr:uid="{A19FC7B5-9137-4874-B25F-2C71DEA76E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34" authorId="0" shapeId="0" xr:uid="{AE8BDE8A-372F-41C6-B74B-8F5FA4A271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31/07</t>
        </r>
      </text>
    </comment>
    <comment ref="M34" authorId="0" shapeId="0" xr:uid="{AA492E1C-516A-4D3E-B7FF-487B8A42C0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27/08</t>
        </r>
      </text>
    </comment>
    <comment ref="N34" authorId="0" shapeId="0" xr:uid="{15D0AE23-E944-4A09-AE61-862070A43F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O34" authorId="0" shapeId="0" xr:uid="{36C6DDD0-6B08-492F-84A4-035E5C48F91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P34" authorId="0" shapeId="0" xr:uid="{C8A4A32A-8B59-4B64-AF45-ACB6E70ABA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Q34" authorId="0" shapeId="0" xr:uid="{B415D80D-BB71-4065-98AF-CD55C1607247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01/01</t>
        </r>
      </text>
    </comment>
    <comment ref="G35" authorId="0" shapeId="0" xr:uid="{91CD336A-4390-4FBE-AB9E-7BCCD2083F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H35" authorId="0" shapeId="0" xr:uid="{F294A43C-EEFC-431D-8A91-E3F2BFAD63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16/06</t>
        </r>
      </text>
    </comment>
    <comment ref="I35" authorId="0" shapeId="0" xr:uid="{1EC8CECE-40E3-40E2-A32C-26FA15DAD9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L35" authorId="0" shapeId="0" xr:uid="{8FFF64F2-4A5F-40B2-9878-89EDB80B99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07/08</t>
        </r>
      </text>
    </comment>
    <comment ref="M35" authorId="0" shapeId="0" xr:uid="{028DFFB9-5608-4D3B-B418-893F2E773C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30/08</t>
        </r>
      </text>
    </comment>
    <comment ref="P35" authorId="0" shapeId="0" xr:uid="{5296DB35-B05B-45D4-B266-2F90AFA3A7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29/11</t>
        </r>
      </text>
    </comment>
    <comment ref="F36" authorId="0" shapeId="0" xr:uid="{ADB29E7E-CCD9-4F75-A5DC-B21B13430D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36" authorId="0" shapeId="0" xr:uid="{FA296777-FBC3-4FBB-B1EB-6376D37926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36" authorId="0" shapeId="0" xr:uid="{9C1ECFA3-6E12-48AE-BA34-7A7E06136C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36" authorId="0" shapeId="0" xr:uid="{4EDB3541-9331-458E-AF3C-E3850C4546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36" authorId="0" shapeId="0" xr:uid="{301D0C14-6C60-41FD-B74A-07ADFCDF9EB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27/05</t>
        </r>
      </text>
    </comment>
    <comment ref="K36" authorId="0" shapeId="0" xr:uid="{053FFFAB-FF14-4E1B-827E-B0169D98C1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36" authorId="0" shapeId="0" xr:uid="{EBB0AC0D-7CB3-4E35-A4A7-3F831A8DCA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M36" authorId="0" shapeId="0" xr:uid="{F4D28403-5169-44D7-BED9-AC9EAA1D0D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36" authorId="0" shapeId="0" xr:uid="{C47F720D-15CE-4363-9F60-90588A4691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O36" authorId="0" shapeId="0" xr:uid="{198DE1AC-89E2-474D-8BDB-DB11CB6B12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P36" authorId="0" shapeId="0" xr:uid="{6175DD2D-47BC-44B0-9197-D078106EC7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27/11</t>
        </r>
      </text>
    </comment>
    <comment ref="Q36" authorId="0" shapeId="0" xr:uid="{7612B4E2-1D98-4942-81C0-73D20C4A51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23/12</t>
        </r>
      </text>
    </comment>
    <comment ref="F37" authorId="0" shapeId="0" xr:uid="{935BE0E1-9D1F-4B06-AB8A-E266068E96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</t>
        </r>
      </text>
    </comment>
    <comment ref="G37" authorId="0" shapeId="0" xr:uid="{2A103645-4AD5-4034-B864-631F489497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37" authorId="0" shapeId="0" xr:uid="{EF28728F-1897-45EC-9144-4D0107BB3D6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29/03</t>
        </r>
      </text>
    </comment>
    <comment ref="I37" authorId="0" shapeId="0" xr:uid="{C3FDC0B7-3F51-48C9-9B0A-6E2EBB3213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J37" authorId="0" shapeId="0" xr:uid="{CA509D36-C978-407B-B77D-DDC9CD81BD3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K37" authorId="0" shapeId="0" xr:uid="{2F55AEF8-3557-475D-821A-F98B0FF46D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02/07</t>
        </r>
      </text>
    </comment>
    <comment ref="L37" authorId="0" shapeId="0" xr:uid="{ACE8EDC6-EB6E-4B7D-8AEF-EFCB77BD0B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01/08</t>
        </r>
      </text>
    </comment>
    <comment ref="M37" authorId="0" shapeId="0" xr:uid="{431BD600-A361-4BD0-ACDF-6A98C6E5F5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</t>
        </r>
      </text>
    </comment>
    <comment ref="N37" authorId="0" shapeId="0" xr:uid="{54C1C614-16FA-4B72-9EF0-E849E056CD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O37" authorId="0" shapeId="0" xr:uid="{A9557ED7-808A-4F49-A594-AAFF0B8445A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37" authorId="0" shapeId="0" xr:uid="{D3EB3986-4A87-4F88-B69A-D36A912A60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Q37" authorId="0" shapeId="0" xr:uid="{0C62EC53-3B1B-4903-988E-7C2AFEF1072E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31/12</t>
        </r>
      </text>
    </comment>
    <comment ref="F38" authorId="0" shapeId="0" xr:uid="{CBC39296-0530-482B-BF8E-332BD23B54E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13/02</t>
        </r>
      </text>
    </comment>
    <comment ref="G38" authorId="0" shapeId="0" xr:uid="{772046B5-1603-4CC5-A218-02D14C66E1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38" authorId="0" shapeId="0" xr:uid="{606DA1A1-0716-4F4E-9DB2-32C3504224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04/04 </t>
        </r>
      </text>
    </comment>
    <comment ref="I38" authorId="0" shapeId="0" xr:uid="{5CC82551-D949-4D63-AC40-AC60615B28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12/05</t>
        </r>
      </text>
    </comment>
    <comment ref="J38" authorId="0" shapeId="0" xr:uid="{BA0E684D-FE81-41D3-A9F4-27B35E2265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10/06</t>
        </r>
      </text>
    </comment>
    <comment ref="K38" authorId="0" shapeId="0" xr:uid="{A863F0BC-C31F-4880-AACC-61B584791C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02/08</t>
        </r>
      </text>
    </comment>
    <comment ref="L38" authorId="0" shapeId="0" xr:uid="{EC6C5373-2490-44A5-996F-694C0018AD9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02/08</t>
        </r>
      </text>
    </comment>
    <comment ref="M38" authorId="0" shapeId="0" xr:uid="{E37D0C91-A2BB-41F4-8AFF-1C2172B394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05/09</t>
        </r>
      </text>
    </comment>
    <comment ref="N38" authorId="0" shapeId="0" xr:uid="{788E9B4B-7F8C-4736-9C15-04E620850D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</t>
        </r>
      </text>
    </comment>
    <comment ref="O38" authorId="0" shapeId="0" xr:uid="{16B3D01C-BC77-4938-80FE-7404C9B76D0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P38" authorId="0" shapeId="0" xr:uid="{1DF163A9-C79A-4674-BA39-726F937EEC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11/12</t>
        </r>
      </text>
    </comment>
    <comment ref="H39" authorId="0" shapeId="0" xr:uid="{A25831BA-BBA9-4CE3-9465-FD87FBBCBD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04/04</t>
        </r>
      </text>
    </comment>
    <comment ref="I39" authorId="0" shapeId="0" xr:uid="{AD766C9F-BE6F-4266-805C-9A1317A8C9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39" authorId="0" shapeId="0" xr:uid="{8A003E20-45BB-4414-AB7F-178EE66833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31/05</t>
        </r>
      </text>
    </comment>
    <comment ref="K39" authorId="0" shapeId="0" xr:uid="{F680F1A2-B9E7-4D62-ADB8-4B11F92F57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39" authorId="0" shapeId="0" xr:uid="{C7D9F4E5-B46E-42F3-B4D4-9C0CA0892C5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04/09</t>
        </r>
      </text>
    </comment>
    <comment ref="M39" authorId="0" shapeId="0" xr:uid="{69445DD3-780E-41E5-B1DC-E5AF4B61EA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21/11</t>
        </r>
      </text>
    </comment>
    <comment ref="O39" authorId="0" shapeId="0" xr:uid="{B7A7B202-8108-4F0C-9FD0-0D7A849D35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03/12</t>
        </r>
      </text>
    </comment>
    <comment ref="G40" authorId="0" shapeId="0" xr:uid="{66C48B27-CFB0-4083-A434-E824088FDAC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40" authorId="0" shapeId="0" xr:uid="{AEE472DE-171B-48A5-BE3F-4CF2CE4B95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29/03</t>
        </r>
      </text>
    </comment>
    <comment ref="I40" authorId="0" shapeId="0" xr:uid="{83D33F6A-1E06-4C4A-9D67-01CC481FAE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40" authorId="0" shapeId="0" xr:uid="{18B69EE7-6808-4BC2-A33D-6C226715F76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31/05</t>
        </r>
      </text>
    </comment>
    <comment ref="K40" authorId="0" shapeId="0" xr:uid="{FF6B3C49-39F2-48A8-B08C-9831B58EC9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06/07</t>
        </r>
      </text>
    </comment>
    <comment ref="L40" authorId="0" shapeId="0" xr:uid="{05707406-A405-4016-BB22-EB86DCDE05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07/08</t>
        </r>
      </text>
    </comment>
    <comment ref="M40" authorId="0" shapeId="0" xr:uid="{A700E31B-F9E8-4991-B1E8-1EA4A24FF3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31/08</t>
        </r>
      </text>
    </comment>
    <comment ref="N40" authorId="0" shapeId="0" xr:uid="{EF65182E-1D11-47EE-A837-761650497F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25/09</t>
        </r>
      </text>
    </comment>
    <comment ref="O40" authorId="0" shapeId="0" xr:uid="{9BA7AE22-F47E-40D2-A22F-EB072BFF7F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04/11</t>
        </r>
      </text>
    </comment>
    <comment ref="P40" authorId="0" shapeId="0" xr:uid="{68389F48-B06C-4289-ACC7-0D7756A413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41" authorId="0" shapeId="0" xr:uid="{7375D449-362D-4D7C-B99C-273D3CD9E6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41" authorId="0" shapeId="0" xr:uid="{77293590-F03A-41F8-8649-D30F6F9BD9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41" authorId="0" shapeId="0" xr:uid="{035C6453-03C4-4E8D-AC73-6F25220E07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41" authorId="0" shapeId="0" xr:uid="{F5FD7EA9-3363-4414-98DC-D5C291F97D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41" authorId="0" shapeId="0" xr:uid="{1F42DDCC-1B81-433D-B9D1-09413A10C6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01/06</t>
        </r>
      </text>
    </comment>
    <comment ref="K41" authorId="0" shapeId="0" xr:uid="{78C03E9C-347B-4008-9EA5-BB21A435A7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05/07</t>
        </r>
      </text>
    </comment>
    <comment ref="M41" authorId="0" shapeId="0" xr:uid="{28E547D2-D487-4E16-8488-421E75FDC5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F42" authorId="0" shapeId="0" xr:uid="{D6F2C542-5600-4750-8C64-8E819C582D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42" authorId="0" shapeId="0" xr:uid="{DD707EA1-246E-42A0-8D4A-D73AA9A6F1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42" authorId="0" shapeId="0" xr:uid="{4B632C4C-ADEE-4123-B21F-0CF89D1379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42" authorId="0" shapeId="0" xr:uid="{E2E646C9-A616-4D53-965D-C64769B3F5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42" authorId="0" shapeId="0" xr:uid="{F785FC77-CBEF-4D23-8D43-3B64FDB695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42" authorId="0" shapeId="0" xr:uid="{9F91AC16-3A7D-4A33-8370-4A68F437DC0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42" authorId="0" shapeId="0" xr:uid="{1AC3B562-43BD-44A9-94E5-D94536D1DF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42" authorId="0" shapeId="0" xr:uid="{14F78F85-9A27-44FD-AFC8-42661203C9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42" authorId="0" shapeId="0" xr:uid="{62D7C50B-B830-4A92-BDC8-E852C72FCC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42" authorId="0" shapeId="0" xr:uid="{0EB42822-5370-4D6C-88A7-AB8C0E01C8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17/10</t>
        </r>
      </text>
    </comment>
    <comment ref="P42" authorId="0" shapeId="0" xr:uid="{35C00539-6818-4A89-A307-FD8B1F1915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42" authorId="0" shapeId="0" xr:uid="{2BB6810D-7E39-4916-90B7-1796A5B8EE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43" authorId="0" shapeId="0" xr:uid="{0EF8AB0B-4E2E-4411-BABA-0CAC82F7FAE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11/01 S/300.00</t>
        </r>
      </text>
    </comment>
    <comment ref="G43" authorId="0" shapeId="0" xr:uid="{C0A43530-DD49-4D54-9476-5D106DDF4E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15/02 S/340.00
20/02 S/19.00</t>
        </r>
      </text>
    </comment>
    <comment ref="H43" authorId="0" shapeId="0" xr:uid="{6A5C21D9-1E07-4CFE-8BF3-7277D5B966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43" authorId="0" shapeId="0" xr:uid="{F85D8B06-9905-46C9-8F28-C309062026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26/04</t>
        </r>
      </text>
    </comment>
    <comment ref="J43" authorId="0" shapeId="0" xr:uid="{FFE8B45B-A2F7-4E67-914A-7AEC948D858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43" authorId="0" shapeId="0" xr:uid="{C04BF09C-B4DD-4BB4-829C-52AAB9B3B9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21/06</t>
        </r>
      </text>
    </comment>
    <comment ref="L43" authorId="0" shapeId="0" xr:uid="{E9B7868D-6311-4E03-B196-4208C73704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43" authorId="0" shapeId="0" xr:uid="{F88AE83D-2907-4653-8A07-1B5657CDD9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N43" authorId="0" shapeId="0" xr:uid="{8DF3F384-2D49-4F2B-9E67-97D04525A24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20/09</t>
        </r>
      </text>
    </comment>
    <comment ref="O43" authorId="0" shapeId="0" xr:uid="{AC853FDB-53F2-4DA9-A768-E7C42B4AF5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12/10</t>
        </r>
      </text>
    </comment>
    <comment ref="P43" authorId="0" shapeId="0" xr:uid="{37F0A4E2-9C82-4184-88D3-C7F23BE64C1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43" authorId="0" shapeId="0" xr:uid="{D8CA7F95-BE06-42AF-B222-21261D5EC0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19/12</t>
        </r>
      </text>
    </comment>
    <comment ref="F44" authorId="0" shapeId="0" xr:uid="{0B5DA3EB-2F72-4FA7-B5B1-F4CC975508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06/02</t>
        </r>
      </text>
    </comment>
    <comment ref="G44" authorId="0" shapeId="0" xr:uid="{0C0D9AF4-EC57-4CEA-B735-B15F38DFF4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04/03</t>
        </r>
      </text>
    </comment>
    <comment ref="H44" authorId="0" shapeId="0" xr:uid="{626F43BE-9D7B-4069-87BD-FB8BD5DAF6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04/04</t>
        </r>
      </text>
    </comment>
    <comment ref="I44" authorId="0" shapeId="0" xr:uid="{729DD3F8-565C-4207-89F2-D4B0B139D9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J44" authorId="0" shapeId="0" xr:uid="{220C2CBA-733C-4D8D-9040-E052F0C122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K44" authorId="0" shapeId="0" xr:uid="{2EBAB6F0-3130-4A09-8CF2-A35C3FD260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04/07</t>
        </r>
      </text>
    </comment>
    <comment ref="L44" authorId="0" shapeId="0" xr:uid="{C70E3866-C5E9-43C6-9E7B-C13528F5CB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07/08</t>
        </r>
      </text>
    </comment>
    <comment ref="M44" authorId="0" shapeId="0" xr:uid="{5E20AD32-8F59-4957-B1BE-D61FE9C120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05/09</t>
        </r>
      </text>
    </comment>
    <comment ref="N44" authorId="0" shapeId="0" xr:uid="{7BB40C7B-178F-41C2-BDD7-126BC36052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05/10</t>
        </r>
      </text>
    </comment>
    <comment ref="O44" authorId="0" shapeId="0" xr:uid="{CF8E42F9-8CE1-4135-93F5-E0A98114B1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04/11</t>
        </r>
      </text>
    </comment>
    <comment ref="P44" authorId="0" shapeId="0" xr:uid="{807CF9BD-46DC-4739-B5CD-DE1E60693B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03/12</t>
        </r>
      </text>
    </comment>
    <comment ref="Q44" authorId="0" shapeId="0" xr:uid="{B03123A0-033F-4671-9456-613786944A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19/12</t>
        </r>
      </text>
    </comment>
    <comment ref="F45" authorId="0" shapeId="0" xr:uid="{BADB7856-8E42-4658-8FC3-9B7B84BBEB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</t>
        </r>
      </text>
    </comment>
    <comment ref="G45" authorId="0" shapeId="0" xr:uid="{F6E6DBBD-6D95-49CA-B48B-839FC503AB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45" authorId="0" shapeId="0" xr:uid="{AB510A28-649C-484A-80CD-C089E6E25F3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29/03</t>
        </r>
      </text>
    </comment>
    <comment ref="I45" authorId="0" shapeId="0" xr:uid="{91C18B4A-4DF0-4730-BCB5-02F92163C7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45" authorId="0" shapeId="0" xr:uid="{17220D62-0235-4F0F-B190-11E6F171FC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K45" authorId="0" shapeId="0" xr:uid="{5BA066B2-BE7C-47B7-B77F-AD47C143C0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28/06</t>
        </r>
      </text>
    </comment>
    <comment ref="L45" authorId="0" shapeId="0" xr:uid="{7536CA3A-B512-40CF-88AC-51A59A468E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</t>
        </r>
      </text>
    </comment>
    <comment ref="M45" authorId="0" shapeId="0" xr:uid="{897DBD02-F0E5-4AA1-AF77-DB8FC1D187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29/08</t>
        </r>
      </text>
    </comment>
    <comment ref="N45" authorId="0" shapeId="0" xr:uid="{5F8B9D63-A1FD-4477-9295-48ADED6ED8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27/09</t>
        </r>
      </text>
    </comment>
    <comment ref="O45" authorId="0" shapeId="0" xr:uid="{4868425D-2C6B-4D2D-98E6-BD6FF97F72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29/10</t>
        </r>
      </text>
    </comment>
    <comment ref="P45" authorId="0" shapeId="0" xr:uid="{6C06308C-8F00-4B8D-A328-FCBCF57E0F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30/11</t>
        </r>
      </text>
    </comment>
    <comment ref="Q45" authorId="0" shapeId="0" xr:uid="{E0187F8F-351F-4EBB-971A-084FEE1403A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30/12</t>
        </r>
      </text>
    </comment>
    <comment ref="G46" authorId="0" shapeId="0" xr:uid="{9204821F-52CF-4766-86A7-938D2939EAD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46" authorId="0" shapeId="0" xr:uid="{B373297F-0A85-4D0B-B090-3841D57941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21/03</t>
        </r>
      </text>
    </comment>
    <comment ref="J46" authorId="0" shapeId="0" xr:uid="{72F7DE91-5E6F-45DF-A252-A773E3C993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K46" authorId="0" shapeId="0" xr:uid="{D9B6BF55-7388-4740-BFBC-2F96185FA7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07/08</t>
        </r>
      </text>
    </comment>
    <comment ref="L46" authorId="0" shapeId="0" xr:uid="{5857169F-5B84-43CF-ADA2-3AB4C7EE8A8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07/08</t>
        </r>
      </text>
    </comment>
    <comment ref="M46" authorId="0" shapeId="0" xr:uid="{94D5D93C-3DF6-435E-AADE-5698DA1DA61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46" authorId="0" shapeId="0" xr:uid="{8C262DB4-785C-4483-A755-A509B34EE3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P46" authorId="0" shapeId="0" xr:uid="{E6190A22-A9C4-423A-836A-D872627310D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47" authorId="0" shapeId="0" xr:uid="{6B9C7F80-5B0A-4F2C-8595-8CD76C05A5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16/01</t>
        </r>
      </text>
    </comment>
    <comment ref="G47" authorId="0" shapeId="0" xr:uid="{18C99EB5-3EAC-4927-804E-192BA1FE38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16/02</t>
        </r>
      </text>
    </comment>
    <comment ref="H47" authorId="0" shapeId="0" xr:uid="{48D7E43E-AC70-47D0-868C-12BE4E2B52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47" authorId="0" shapeId="0" xr:uid="{C1A4D11A-7911-4FE7-8440-E24702A49D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24/04</t>
        </r>
      </text>
    </comment>
    <comment ref="J47" authorId="0" shapeId="0" xr:uid="{ABCC94E0-23D9-450A-9026-B04DC18E51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18/05</t>
        </r>
      </text>
    </comment>
    <comment ref="K47" authorId="0" shapeId="0" xr:uid="{58C13692-3E91-4761-946F-CB77AFA46E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22/06</t>
        </r>
      </text>
    </comment>
    <comment ref="L47" authorId="0" shapeId="0" xr:uid="{4C11568E-0EB0-4636-9A6D-69600822AE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M47" authorId="0" shapeId="0" xr:uid="{8E8B764F-EC31-4089-B647-227F86E149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15/08</t>
        </r>
      </text>
    </comment>
    <comment ref="N47" authorId="0" shapeId="0" xr:uid="{4B8D864B-245E-4B5F-828A-409B31E615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</t>
        </r>
      </text>
    </comment>
    <comment ref="O47" authorId="0" shapeId="0" xr:uid="{7E4E758B-8408-47E0-AB9B-B352CDAF0D3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17/10</t>
        </r>
      </text>
    </comment>
    <comment ref="P47" authorId="0" shapeId="0" xr:uid="{198A7B1A-5DE6-4A16-9B99-7BE526E2FD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17/11</t>
        </r>
      </text>
    </comment>
    <comment ref="Q47" authorId="0" shapeId="0" xr:uid="{8CA285A7-F49D-4D1A-8B5E-49665B92F1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48" authorId="0" shapeId="0" xr:uid="{2C18CCB7-5F1A-4C83-BC26-1B3929512A5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05/06</t>
        </r>
      </text>
    </comment>
    <comment ref="I48" authorId="0" shapeId="0" xr:uid="{01FF094F-2A43-46DF-AF77-A34E075BFE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J48" authorId="0" shapeId="0" xr:uid="{59320B12-81C6-478A-B1C0-6CA306280C5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11/08</t>
        </r>
      </text>
    </comment>
    <comment ref="K48" authorId="0" shapeId="0" xr:uid="{A94CE7DB-F10A-4ABB-A63D-DD69983BB4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15/08</t>
        </r>
      </text>
    </comment>
    <comment ref="M48" authorId="0" shapeId="0" xr:uid="{CF5F3F30-10A1-4E52-8162-491A6CFAB6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04/09</t>
        </r>
      </text>
    </comment>
    <comment ref="N48" authorId="0" shapeId="0" xr:uid="{131762F9-F13C-4C78-B942-337F9DA97D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06/10</t>
        </r>
      </text>
    </comment>
    <comment ref="O48" authorId="0" shapeId="0" xr:uid="{BC2DD77F-C316-4E08-9FB4-761EF00A04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24/10</t>
        </r>
      </text>
    </comment>
    <comment ref="F49" authorId="0" shapeId="0" xr:uid="{042BAA13-C434-4B7F-830E-55F8BCEF0FE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49" authorId="0" shapeId="0" xr:uid="{9B9B04DB-F5CE-4271-A27F-097A5B14CF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 </t>
        </r>
      </text>
    </comment>
    <comment ref="H49" authorId="0" shapeId="0" xr:uid="{7F5C5A2F-0E42-47D7-8597-96CD8D9BBE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49" authorId="0" shapeId="0" xr:uid="{1392ED94-639B-4946-BDA2-84FB72E34E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49" authorId="0" shapeId="0" xr:uid="{6C5677A1-8274-4242-B7DE-11D480A5EF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17/05</t>
        </r>
      </text>
    </comment>
    <comment ref="K49" authorId="0" shapeId="0" xr:uid="{DE5524F5-3982-479B-884D-72867079E0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49" authorId="0" shapeId="0" xr:uid="{DEFA59D3-F258-4DB1-B4E8-4CC645EBD7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49" authorId="0" shapeId="0" xr:uid="{56F39B72-CF43-4226-BA4D-E6474A6785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49" authorId="0" shapeId="0" xr:uid="{2042B492-3C23-4717-81FA-4DEA5050BA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49" authorId="0" shapeId="0" xr:uid="{96A719B6-0EF6-4CE6-8819-92408CB49F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19/10 </t>
        </r>
      </text>
    </comment>
    <comment ref="Q49" authorId="0" shapeId="0" xr:uid="{DEF5A46E-1E74-4B2B-85B6-C8164ADD72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50" authorId="0" shapeId="0" xr:uid="{A91EF71E-2DAF-46A3-B640-8ED0B5A454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</t>
        </r>
      </text>
    </comment>
    <comment ref="H50" authorId="0" shapeId="0" xr:uid="{19E33F98-4FD9-4B02-A88A-5ABB6C4EE6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16/03</t>
        </r>
      </text>
    </comment>
    <comment ref="J50" authorId="0" shapeId="0" xr:uid="{FCB39DC4-3A41-46BB-AB4B-0D1D02987C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L50" authorId="0" shapeId="0" xr:uid="{58E70B17-FF03-4681-B30E-E5DC5AC6CA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31/07</t>
        </r>
      </text>
    </comment>
    <comment ref="O50" authorId="0" shapeId="0" xr:uid="{904A9822-CEE1-4B4A-993C-10FD27E87F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28/10</t>
        </r>
      </text>
    </comment>
    <comment ref="P50" authorId="0" shapeId="0" xr:uid="{2C43E5C4-3BF8-4056-9425-6776A48BAC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26/11</t>
        </r>
      </text>
    </comment>
    <comment ref="Q50" authorId="0" shapeId="0" xr:uid="{0860FA19-431F-4E55-A9F0-9EFCCA71559B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31/12</t>
        </r>
      </text>
    </comment>
    <comment ref="F51" authorId="0" shapeId="0" xr:uid="{06C3E378-C31C-4E75-BA72-7C3591EC23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51" authorId="0" shapeId="0" xr:uid="{EEC98D79-A0B0-4D96-AE2E-DC24BEE06D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51" authorId="0" shapeId="0" xr:uid="{E2BDB51A-D4BB-4439-A48E-CEB7168591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22/03</t>
        </r>
      </text>
    </comment>
    <comment ref="I51" authorId="0" shapeId="0" xr:uid="{3D01C1F6-87B3-4880-8AD6-41D060280F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51" authorId="0" shapeId="0" xr:uid="{FE8CAFAE-3374-42D7-B44E-C036A2F90E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23/05</t>
        </r>
      </text>
    </comment>
    <comment ref="K51" authorId="0" shapeId="0" xr:uid="{76326F26-47BC-4B2C-8064-1823C8BA47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21/06</t>
        </r>
      </text>
    </comment>
    <comment ref="L51" authorId="0" shapeId="0" xr:uid="{63D59654-D4CD-4522-A44E-6F623B1711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51" authorId="0" shapeId="0" xr:uid="{0A9D9D5E-EBDF-49EC-B0B7-FFE4326797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25/08</t>
        </r>
      </text>
    </comment>
    <comment ref="N51" authorId="0" shapeId="0" xr:uid="{721C75B8-30DF-42FF-8B8B-67185ADC02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1" authorId="0" shapeId="0" xr:uid="{5B839C20-FD4D-4F07-BE1F-08F641281E8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17/10</t>
        </r>
      </text>
    </comment>
    <comment ref="P51" authorId="0" shapeId="0" xr:uid="{18A1AB7C-458C-4F15-99D8-96EE125D9F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51" authorId="0" shapeId="0" xr:uid="{14DCDCF9-640B-4B0B-9A3E-4A99D0D1C15E}">
      <text>
        <r>
          <rPr>
            <b/>
            <sz val="9"/>
            <color indexed="81"/>
            <rFont val="Tahoma"/>
            <family val="2"/>
          </rPr>
          <t xml:space="preserve">Energía Renovable Perú:
</t>
        </r>
        <r>
          <rPr>
            <sz val="9"/>
            <color indexed="81"/>
            <rFont val="Tahoma"/>
            <family val="2"/>
          </rPr>
          <t>16/12 S/346.00
19/12 S/10.00</t>
        </r>
      </text>
    </comment>
    <comment ref="F52" authorId="0" shapeId="0" xr:uid="{1F860913-60F8-41F0-9793-BA393D1FC1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03/04</t>
        </r>
      </text>
    </comment>
    <comment ref="J52" authorId="0" shapeId="0" xr:uid="{125ED31C-23AF-40F5-AE82-22CE8280E8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K52" authorId="0" shapeId="0" xr:uid="{DA93EBAF-EDBB-4BCB-B780-3353B2C5C0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09/07</t>
        </r>
      </text>
    </comment>
    <comment ref="L52" authorId="0" shapeId="0" xr:uid="{2A9B6121-6B84-44CA-ADF8-FCB3E1C87D8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13/10</t>
        </r>
      </text>
    </comment>
    <comment ref="M52" authorId="0" shapeId="0" xr:uid="{AEF18D8D-426C-437F-A61E-7061D68A75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11/11</t>
        </r>
      </text>
    </comment>
    <comment ref="N52" authorId="0" shapeId="0" xr:uid="{0A0FFD9C-6195-43E5-8795-83E2B67B85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53" authorId="0" shapeId="0" xr:uid="{5F0D27D8-847A-4A86-8CBA-F73C682830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G53" authorId="0" shapeId="0" xr:uid="{8BD934C1-9AC7-4320-9DAB-996DB1259E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H53" authorId="0" shapeId="0" xr:uid="{5BC5EDAF-F79E-4CBA-AEAB-3D4D058DAA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I53" authorId="0" shapeId="0" xr:uid="{C64E44CF-7002-44E2-834D-1EDFF11A83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03/06</t>
        </r>
      </text>
    </comment>
    <comment ref="J53" authorId="0" shapeId="0" xr:uid="{12D6513D-BC61-46F9-B44B-BF88783F44B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27/06</t>
        </r>
      </text>
    </comment>
    <comment ref="K53" authorId="0" shapeId="0" xr:uid="{CC8BE5E7-F402-4771-AAF2-E06493F0EB6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02/08</t>
        </r>
      </text>
    </comment>
    <comment ref="L53" authorId="0" shapeId="0" xr:uid="{7101689D-BCCD-4D79-9587-2D5BFC4E23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M53" authorId="0" shapeId="0" xr:uid="{CE0F2746-C3E8-4701-A6DF-4876DB1817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27/09</t>
        </r>
      </text>
    </comment>
    <comment ref="N53" authorId="0" shapeId="0" xr:uid="{46EF0CAB-415C-451A-A5D3-D0BB84A0E9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24/11</t>
        </r>
      </text>
    </comment>
    <comment ref="O53" authorId="0" shapeId="0" xr:uid="{13543A29-0279-459E-B28E-796938C46D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15/12</t>
        </r>
      </text>
    </comment>
    <comment ref="F54" authorId="0" shapeId="0" xr:uid="{DCFA1B38-6D1B-40E6-8F86-A3D3E5AE6E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G54" authorId="0" shapeId="0" xr:uid="{623F1A07-8767-46B3-9CF9-CF56F82807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54" authorId="0" shapeId="0" xr:uid="{5D598960-12C7-4FC3-BC3C-4408558005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54" authorId="0" shapeId="0" xr:uid="{2B9931EC-EC14-4956-AD5B-177241CDA3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54" authorId="0" shapeId="0" xr:uid="{D47BD313-F93B-46B5-8650-2723C71F06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K54" authorId="0" shapeId="0" xr:uid="{77CB2C05-799F-4EDE-A35E-52ED39FE42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23/06</t>
        </r>
      </text>
    </comment>
    <comment ref="L54" authorId="0" shapeId="0" xr:uid="{29793A75-519A-4824-9917-6D319F0DDB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27/07</t>
        </r>
      </text>
    </comment>
    <comment ref="M54" authorId="0" shapeId="0" xr:uid="{07950730-0138-427C-ACDE-D1B99093E0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N54" authorId="0" shapeId="0" xr:uid="{4A48D689-52D1-4A48-BCE2-BEF5A476E7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26/09</t>
        </r>
      </text>
    </comment>
    <comment ref="O54" authorId="0" shapeId="0" xr:uid="{F9526E1D-349D-41F1-B486-64B7CAFF11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P54" authorId="0" shapeId="0" xr:uid="{D5172DCB-5554-4DB1-B9B1-51B3E117A6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15/11</t>
        </r>
      </text>
    </comment>
    <comment ref="Q54" authorId="0" shapeId="0" xr:uid="{44897E69-A807-41FF-8B10-AFC6FE7DE4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17/12</t>
        </r>
      </text>
    </comment>
    <comment ref="F55" authorId="0" shapeId="0" xr:uid="{5D93C912-B5E5-4B3A-BBD9-543E31A251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17/02</t>
        </r>
      </text>
    </comment>
    <comment ref="G55" authorId="0" shapeId="0" xr:uid="{05ED3EF0-6B2F-4474-8E21-89DB9FB74F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10/03</t>
        </r>
      </text>
    </comment>
    <comment ref="I55" authorId="0" shapeId="0" xr:uid="{04564C43-A33A-4D05-AB02-43DA229922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01/05</t>
        </r>
      </text>
    </comment>
    <comment ref="K55" authorId="0" shapeId="0" xr:uid="{CF69A939-2C0C-4F1F-9FCF-78ADAFA6A4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23/06</t>
        </r>
      </text>
    </comment>
    <comment ref="M55" authorId="0" shapeId="0" xr:uid="{4634E62E-BD6C-420F-9F19-A3D3837CA2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O55" authorId="0" shapeId="0" xr:uid="{7DE1E066-E54C-4A5F-BD5D-C76E3C9076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2010</t>
        </r>
      </text>
    </comment>
    <comment ref="Q55" authorId="0" shapeId="0" xr:uid="{AB5E5FBA-C704-478C-87D3-C0EED5780E9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30/12
</t>
        </r>
      </text>
    </comment>
    <comment ref="F56" authorId="0" shapeId="0" xr:uid="{D2B1DD30-29FA-4419-90D8-BA964C67D0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05/02</t>
        </r>
      </text>
    </comment>
    <comment ref="G56" authorId="0" shapeId="0" xr:uid="{2B502CF7-C5A0-4F0B-8FDF-9738224A4D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I56" authorId="0" shapeId="0" xr:uid="{E7584C6E-FB99-46FB-A75B-E2E56BAFC8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J56" authorId="0" shapeId="0" xr:uid="{52EEB76F-F143-402B-B3C0-709F8BA7824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01/06</t>
        </r>
      </text>
    </comment>
    <comment ref="K56" authorId="0" shapeId="0" xr:uid="{5CF078CB-B4E1-4410-90B5-632A8E788B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02/07</t>
        </r>
      </text>
    </comment>
    <comment ref="L56" authorId="0" shapeId="0" xr:uid="{E826CA47-3E3B-4F9C-825D-503E7A7B1D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02/08</t>
        </r>
      </text>
    </comment>
    <comment ref="M56" authorId="0" shapeId="0" xr:uid="{943EECDC-2D09-4834-905A-E9B67A9EE3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03/09
</t>
        </r>
      </text>
    </comment>
    <comment ref="N56" authorId="0" shapeId="0" xr:uid="{367B75CC-6EB7-49E5-9BD3-D658B1B1F6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07/10</t>
        </r>
      </text>
    </comment>
    <comment ref="O56" authorId="0" shapeId="0" xr:uid="{B918889F-54BD-4AA2-8D66-7C21401A0C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05/11</t>
        </r>
      </text>
    </comment>
    <comment ref="P56" authorId="0" shapeId="0" xr:uid="{FDAEA784-72BD-484B-A31F-87491585DB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03/12</t>
        </r>
      </text>
    </comment>
    <comment ref="G57" authorId="0" shapeId="0" xr:uid="{4B2B0096-CF21-4F76-8F2C-60769404A77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14/05</t>
        </r>
      </text>
    </comment>
    <comment ref="I57" authorId="0" shapeId="0" xr:uid="{B9F4692B-2A35-4649-ABCC-179E4AF0C5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19/05</t>
        </r>
      </text>
    </comment>
    <comment ref="J57" authorId="0" shapeId="0" xr:uid="{B4397D25-9A06-4852-B8F5-EE74CA253CD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M57" authorId="0" shapeId="0" xr:uid="{BD1B82DF-1F48-413F-8D18-7FC5DC39D1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30/08</t>
        </r>
      </text>
    </comment>
    <comment ref="N57" authorId="0" shapeId="0" xr:uid="{B518F72F-6BCA-4E1E-A70B-1E42D057EE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O57" authorId="0" shapeId="0" xr:uid="{4A89068A-8EC4-4872-AD66-324BAF89F6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F58" authorId="0" shapeId="0" xr:uid="{5CCA4228-7DB7-4BF4-AC18-0E4E611F3F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</t>
        </r>
      </text>
    </comment>
    <comment ref="G58" authorId="0" shapeId="0" xr:uid="{90EFF0E3-03AF-4456-ACD0-F2DF5BE221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58" authorId="0" shapeId="0" xr:uid="{66902F95-2C0B-422C-BDFE-EBA3B74E05C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58" authorId="0" shapeId="0" xr:uid="{37A5920D-E712-4A5D-B392-34DC076A242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07/05</t>
        </r>
      </text>
    </comment>
    <comment ref="J58" authorId="0" shapeId="0" xr:uid="{CFBAB3EA-F2BA-4F6B-9A81-66C15CEA63F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27/05</t>
        </r>
      </text>
    </comment>
    <comment ref="K58" authorId="0" shapeId="0" xr:uid="{ACE8DCD5-340D-433B-AD28-6C461298E5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58" authorId="0" shapeId="0" xr:uid="{A4F5F6BB-0A06-4354-A0F3-38AAB512C3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M58" authorId="0" shapeId="0" xr:uid="{11B246F9-761E-4AEE-94D5-BADD684C70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09/09</t>
        </r>
      </text>
    </comment>
    <comment ref="O58" authorId="0" shapeId="0" xr:uid="{80F2FAA7-1BC6-46CB-B6BE-019106C3F6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18/10</t>
        </r>
      </text>
    </comment>
    <comment ref="P58" authorId="0" shapeId="0" xr:uid="{584C59FC-5F7D-4107-BA3E-DC9DE5D8C7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02/12</t>
        </r>
      </text>
    </comment>
    <comment ref="Q58" authorId="0" shapeId="0" xr:uid="{F5530B72-06E7-420C-89B4-17C7C56000FC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04/01 </t>
        </r>
      </text>
    </comment>
    <comment ref="F59" authorId="0" shapeId="0" xr:uid="{C381E3C9-F591-47D1-B022-4DA59025210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30/01</t>
        </r>
      </text>
    </comment>
    <comment ref="G59" authorId="0" shapeId="0" xr:uid="{76CA71CF-A74C-465C-B4C7-68075A572E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59" authorId="0" shapeId="0" xr:uid="{3F806260-D63E-45A7-A8E4-50838E2C0E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29/03</t>
        </r>
      </text>
    </comment>
    <comment ref="I59" authorId="0" shapeId="0" xr:uid="{49FFD1E6-B215-49A9-83B7-B0DF3A34C0E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J59" authorId="0" shapeId="0" xr:uid="{9DDDBCE7-B2BA-4D55-927A-8BFFACF622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K59" authorId="0" shapeId="0" xr:uid="{6BDADCE2-6453-4EB1-996B-4233DD3CC2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L59" authorId="0" shapeId="0" xr:uid="{5AD2B4B2-B7E6-4560-81E8-48E7450CA4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</t>
        </r>
      </text>
    </comment>
    <comment ref="M59" authorId="0" shapeId="0" xr:uid="{7460C60D-6672-4F1C-9BF3-2E95E66DB2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28/08</t>
        </r>
      </text>
    </comment>
    <comment ref="N59" authorId="0" shapeId="0" xr:uid="{A565A6A5-9C58-4DA1-967D-A27E48A808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O59" authorId="0" shapeId="0" xr:uid="{D0A3799C-FF45-4CD0-AC91-25AA47B632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29/10</t>
        </r>
      </text>
    </comment>
    <comment ref="P59" authorId="0" shapeId="0" xr:uid="{EB8EF768-2E1A-475F-A052-CF88C488A7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27/11</t>
        </r>
      </text>
    </comment>
    <comment ref="F60" authorId="0" shapeId="0" xr:uid="{E804E680-9375-44F0-BCA7-C6710ACEAF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14/02</t>
        </r>
      </text>
    </comment>
    <comment ref="G60" authorId="0" shapeId="0" xr:uid="{1FDB5751-51E6-494E-8241-E8005FED7AE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H60" authorId="0" shapeId="0" xr:uid="{D465293D-998F-40C4-BC21-6217BA7BC2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11/04</t>
        </r>
      </text>
    </comment>
    <comment ref="I60" authorId="0" shapeId="0" xr:uid="{EFD61588-3A76-47B5-AFE5-711751A7C8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15/05</t>
        </r>
      </text>
    </comment>
    <comment ref="J60" authorId="0" shapeId="0" xr:uid="{42758F0B-43DA-49C8-ACA1-870103E8399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13/06</t>
        </r>
      </text>
    </comment>
    <comment ref="K60" authorId="0" shapeId="0" xr:uid="{E170A69C-3D0B-4EB2-A2F1-4032A1B3A53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12/07</t>
        </r>
      </text>
    </comment>
    <comment ref="L60" authorId="0" shapeId="0" xr:uid="{8913A365-0A34-4DA0-A093-153EFFED7E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14/08</t>
        </r>
      </text>
    </comment>
    <comment ref="M60" authorId="0" shapeId="0" xr:uid="{E1BF4D82-44BA-49D2-9C12-9CCBD519A94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N60" authorId="0" shapeId="0" xr:uid="{5A48C335-39BE-4B35-9E92-E95900ABB64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15/10</t>
        </r>
      </text>
    </comment>
    <comment ref="O60" authorId="0" shapeId="0" xr:uid="{D0AFEF3C-FFE2-4907-93E6-501E939D6E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14/11</t>
        </r>
      </text>
    </comment>
    <comment ref="P60" authorId="0" shapeId="0" xr:uid="{50B75D70-DBAD-4A66-B06D-051D7D7D2E8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31/12</t>
        </r>
      </text>
    </comment>
    <comment ref="F61" authorId="0" shapeId="0" xr:uid="{3B1FB58A-09C5-4CED-8B35-600DDF33FB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G61" authorId="0" shapeId="0" xr:uid="{0AB8ADCE-F305-4DEE-895C-23B164C3F48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28/03</t>
        </r>
      </text>
    </comment>
    <comment ref="H61" authorId="0" shapeId="0" xr:uid="{5D5FCF7B-8DB8-48FD-87C2-828B0D723E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I61" authorId="0" shapeId="0" xr:uid="{8A7E2AEB-741A-448F-9C93-8477F1C2BFD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J61" authorId="0" shapeId="0" xr:uid="{D062A1F8-9CE5-4F76-BA34-22DE96C0F3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28/06</t>
        </r>
      </text>
    </comment>
    <comment ref="K61" authorId="0" shapeId="0" xr:uid="{261012C4-A8D2-4F49-8521-59CD8D98AD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07/07 S/77.00
</t>
        </r>
      </text>
    </comment>
    <comment ref="L61" authorId="0" shapeId="0" xr:uid="{4E5F52E2-7361-45B2-9087-71DC2C6758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 S/444.00
12/08 S/98.00</t>
        </r>
      </text>
    </comment>
    <comment ref="M61" authorId="0" shapeId="0" xr:uid="{1CAEA3C1-D7E4-4363-963F-318E5F83303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27/08 S/338.00
05/09 S/97.29</t>
        </r>
      </text>
    </comment>
    <comment ref="N61" authorId="0" shapeId="0" xr:uid="{65E6C16B-46ED-4FAB-9107-0F5E267992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O61" authorId="0" shapeId="0" xr:uid="{480C4EAD-985F-4E05-A27D-D5998BB2D5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30/10</t>
        </r>
      </text>
    </comment>
    <comment ref="P61" authorId="0" shapeId="0" xr:uid="{EE01CFBF-B372-4B4B-B50C-549E36C0295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26/11</t>
        </r>
      </text>
    </comment>
    <comment ref="Q61" authorId="0" shapeId="0" xr:uid="{5544C1E7-C112-46EC-BE7E-9A88D4386D5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26/12</t>
        </r>
      </text>
    </comment>
    <comment ref="F62" authorId="0" shapeId="0" xr:uid="{AEA1CE67-A633-4E53-A38E-4BEFF65720F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16/01</t>
        </r>
      </text>
    </comment>
    <comment ref="G62" authorId="0" shapeId="0" xr:uid="{74EAA9D9-4FB4-44E0-B04C-56E4B2D58E0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15/02</t>
        </r>
      </text>
    </comment>
    <comment ref="H62" authorId="0" shapeId="0" xr:uid="{68165E13-52D1-4FCA-A815-1BEFE12851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62" authorId="0" shapeId="0" xr:uid="{FB07A31F-D30A-4A0B-BE7D-30C7D668F35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J62" authorId="0" shapeId="0" xr:uid="{7CEFF01E-FD67-4625-94A9-2321EBB1FD4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17/05</t>
        </r>
      </text>
    </comment>
    <comment ref="K62" authorId="0" shapeId="0" xr:uid="{E7DBF41C-CD16-4807-8386-42E78E7AA3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20/06</t>
        </r>
      </text>
    </comment>
    <comment ref="L62" authorId="0" shapeId="0" xr:uid="{52215F43-A10F-46E4-A8F7-59D6EB02E5F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15/07</t>
        </r>
      </text>
    </comment>
    <comment ref="M62" authorId="0" shapeId="0" xr:uid="{9E70AD03-316E-4198-9B8A-D745353F5E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15/08</t>
        </r>
      </text>
    </comment>
    <comment ref="N62" authorId="0" shapeId="0" xr:uid="{0BEF0636-0E5D-4270-9231-4DECF305EF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15/09</t>
        </r>
      </text>
    </comment>
    <comment ref="O62" authorId="0" shapeId="0" xr:uid="{9F3F3697-A5F0-4EEA-863E-06DBA18A4B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16/10</t>
        </r>
      </text>
    </comment>
    <comment ref="P62" authorId="0" shapeId="0" xr:uid="{5EB0AE25-3891-4E46-9265-AD314E78DC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62" authorId="0" shapeId="0" xr:uid="{E32DCBFD-A173-4BE7-9475-B7E2F7DA443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15/12</t>
        </r>
      </text>
    </comment>
    <comment ref="F63" authorId="0" shapeId="0" xr:uid="{55FA6214-6339-499B-9831-1B12228C8DB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63" authorId="0" shapeId="0" xr:uid="{B13E4B2C-F5DA-45C4-80CA-3158101363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63" authorId="0" shapeId="0" xr:uid="{B6D86235-C0FB-476A-B96F-D7FA315C52B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05/04</t>
        </r>
      </text>
    </comment>
    <comment ref="I63" authorId="0" shapeId="0" xr:uid="{8BC814DD-5264-41E1-B06D-20C4F645175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05/05</t>
        </r>
      </text>
    </comment>
    <comment ref="J63" authorId="0" shapeId="0" xr:uid="{0F4D2700-706E-47D2-A9E0-CE70EB47E5A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24/05</t>
        </r>
      </text>
    </comment>
    <comment ref="K63" authorId="0" shapeId="0" xr:uid="{576FDF9C-B5A8-440E-98EE-59E670AD780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63" authorId="0" shapeId="0" xr:uid="{20B4F39E-3FFB-4045-98C3-41480B90BA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19/07</t>
        </r>
      </text>
    </comment>
    <comment ref="M63" authorId="0" shapeId="0" xr:uid="{F00C1D18-E428-477B-80F7-D163ADB669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30/08</t>
        </r>
      </text>
    </comment>
    <comment ref="N63" authorId="0" shapeId="0" xr:uid="{8F9D9FAA-15A7-4919-8FCF-ADD1351F38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O63" authorId="0" shapeId="0" xr:uid="{D1235798-00C2-4B82-95F2-853FD0FF19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25/10</t>
        </r>
      </text>
    </comment>
    <comment ref="P63" authorId="0" shapeId="0" xr:uid="{4B1F474F-DC98-4571-9539-15848183C5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05/12</t>
        </r>
      </text>
    </comment>
    <comment ref="Q63" authorId="0" shapeId="0" xr:uid="{9958A914-0215-4DF2-8A2C-FE02E3A578C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26/12</t>
        </r>
      </text>
    </comment>
    <comment ref="F64" authorId="0" shapeId="0" xr:uid="{CE447BB6-2062-4150-8F17-12D4E02308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06/02</t>
        </r>
      </text>
    </comment>
    <comment ref="G64" authorId="0" shapeId="0" xr:uid="{ADD52C16-4744-439A-B188-2D4C3AF8A5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64" authorId="0" shapeId="0" xr:uid="{17F02A89-DF5C-44EF-B310-AC4D003B25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64" authorId="0" shapeId="0" xr:uid="{02E066D6-AD66-4F9A-9169-DC33DBBC1F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64" authorId="0" shapeId="0" xr:uid="{6A2CD240-1599-450D-8836-25784E1B2D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27/05</t>
        </r>
      </text>
    </comment>
    <comment ref="K64" authorId="0" shapeId="0" xr:uid="{44C7E0FE-9C20-4227-9F89-84143A1987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03/07</t>
        </r>
      </text>
    </comment>
    <comment ref="L64" authorId="0" shapeId="0" xr:uid="{30CF19D5-76E3-41C9-88DC-8BAED13C5B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31/07</t>
        </r>
      </text>
    </comment>
    <comment ref="M64" authorId="0" shapeId="0" xr:uid="{DEA3CA65-86E3-4D02-BD5E-E7EE8D035D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28/08</t>
        </r>
      </text>
    </comment>
    <comment ref="N64" authorId="0" shapeId="0" xr:uid="{D8CFA919-FDAD-4569-BDCD-6F97B93111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28/09</t>
        </r>
      </text>
    </comment>
    <comment ref="O64" authorId="0" shapeId="0" xr:uid="{79F3316D-6B78-495E-BA24-38AAD179F7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29/10</t>
        </r>
      </text>
    </comment>
    <comment ref="P64" authorId="0" shapeId="0" xr:uid="{E2B3B5B4-AD8B-4199-89CA-5B1E3BC10E1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26/11</t>
        </r>
      </text>
    </comment>
    <comment ref="Q64" authorId="0" shapeId="0" xr:uid="{5FAB0074-BABB-426D-AC79-1022EB167FA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22/12</t>
        </r>
      </text>
    </comment>
    <comment ref="G65" authorId="0" shapeId="0" xr:uid="{723EA5A6-4299-4F2A-A609-CA3C98FB9C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12/04</t>
        </r>
      </text>
    </comment>
    <comment ref="H65" authorId="0" shapeId="0" xr:uid="{3F6254D3-D7AE-45E8-83C6-63033C9901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17/05</t>
        </r>
      </text>
    </comment>
    <comment ref="I65" authorId="0" shapeId="0" xr:uid="{A523047E-9EAC-44A0-9E60-14256EA853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24/05</t>
        </r>
      </text>
    </comment>
    <comment ref="J65" authorId="0" shapeId="0" xr:uid="{7E225C23-7876-4CB9-B9E3-F7A74B6C185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L65" authorId="0" shapeId="0" xr:uid="{9F2E72AC-E855-4F76-BD90-332E642264F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09/09 S/100.00
09/09 S/900.00</t>
        </r>
      </text>
    </comment>
    <comment ref="M65" authorId="0" shapeId="0" xr:uid="{88AFA880-45AF-4E9C-A4CE-317B21A78AE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21/09</t>
        </r>
      </text>
    </comment>
    <comment ref="N65" authorId="0" shapeId="0" xr:uid="{D5EC37AE-0D45-40BE-B8C2-89B45D0877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29/11</t>
        </r>
      </text>
    </comment>
    <comment ref="O65" authorId="0" shapeId="0" xr:uid="{D3955DCA-19CA-442F-AED2-102C88A819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03/12</t>
        </r>
      </text>
    </comment>
    <comment ref="F66" authorId="0" shapeId="0" xr:uid="{9E7161AB-E241-4BE6-8AF8-4CAC77ED94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66" authorId="0" shapeId="0" xr:uid="{925C53F3-BCB3-436A-8282-36F5EEF332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66" authorId="0" shapeId="0" xr:uid="{CB079BD0-E237-41DD-81FE-6DA7100BB3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66" authorId="0" shapeId="0" xr:uid="{66BB9812-0901-4B5B-8B8D-F117331F08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66" authorId="0" shapeId="0" xr:uid="{CFD79D79-7948-48C3-9C7A-C80AF3DEC3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21/05</t>
        </r>
      </text>
    </comment>
    <comment ref="K66" authorId="0" shapeId="0" xr:uid="{5ABE6212-F868-4D7E-9AD1-9D206D8809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66" authorId="0" shapeId="0" xr:uid="{E895437D-AEB9-46AC-9E71-3E84C807CF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17/07</t>
        </r>
      </text>
    </comment>
    <comment ref="M66" authorId="0" shapeId="0" xr:uid="{14BF2940-8007-456B-BF31-37374ABE9A2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16/08</t>
        </r>
      </text>
    </comment>
    <comment ref="N66" authorId="0" shapeId="0" xr:uid="{DE7D62CD-8EBC-4225-9580-36C4D49F0E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66" authorId="0" shapeId="0" xr:uid="{855545BB-2DF2-42CD-B9B0-919795D14AA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18/10</t>
        </r>
      </text>
    </comment>
    <comment ref="P66" authorId="0" shapeId="0" xr:uid="{A1073D94-4018-404A-9D30-8A622AF398A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66" authorId="0" shapeId="0" xr:uid="{4E937F89-AA1F-4A5A-9411-762E4A624A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19/12</t>
        </r>
      </text>
    </comment>
    <comment ref="F67" authorId="0" shapeId="0" xr:uid="{21649DAE-B852-4FF7-9626-4B84D012E6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01/02</t>
        </r>
      </text>
    </comment>
    <comment ref="G67" authorId="0" shapeId="0" xr:uid="{84B8D90B-19CB-4AE4-B489-B2EF566911A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67" authorId="0" shapeId="0" xr:uid="{9940CAA7-EBB4-480B-A153-B78908D0E9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05/04</t>
        </r>
      </text>
    </comment>
    <comment ref="I67" authorId="0" shapeId="0" xr:uid="{742EB96A-36DE-4AB7-BE36-361261397A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01/05</t>
        </r>
      </text>
    </comment>
    <comment ref="J67" authorId="0" shapeId="0" xr:uid="{A2875853-AA78-4809-B6C6-C00B1C2F76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31/05</t>
        </r>
      </text>
    </comment>
    <comment ref="K67" authorId="0" shapeId="0" xr:uid="{EFE56055-D34D-46A3-B8FA-1FA15D4246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L67" authorId="0" shapeId="0" xr:uid="{EEB8464C-BAF5-467C-BAA5-0C7B548B21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11/08</t>
        </r>
      </text>
    </comment>
    <comment ref="M67" authorId="0" shapeId="0" xr:uid="{866F8CA2-5483-437B-ABF5-FB6D2E3BCC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N67" authorId="0" shapeId="0" xr:uid="{2DBC95D7-63EC-4C61-BEC1-A9313D638C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O67" authorId="0" shapeId="0" xr:uid="{50CDFBE9-DFC4-4C07-AF68-7C9F9649AE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P67" authorId="0" shapeId="0" xr:uid="{3C5B6CE0-A2E8-434C-94FA-6B68EA649C04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31/12</t>
        </r>
      </text>
    </comment>
    <comment ref="F68" authorId="0" shapeId="0" xr:uid="{5B67D654-9187-42F9-BFE7-54BD5BCB91F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18/01</t>
        </r>
      </text>
    </comment>
    <comment ref="G68" authorId="0" shapeId="0" xr:uid="{A57275E7-74A6-427B-85FE-0FBB85D366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68" authorId="0" shapeId="0" xr:uid="{2C826E98-FB32-41D1-BD43-264F6A13291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16/03</t>
        </r>
      </text>
    </comment>
    <comment ref="I68" authorId="0" shapeId="0" xr:uid="{5D537393-C646-40AE-A736-1F4C6776BCD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J68" authorId="0" shapeId="0" xr:uid="{8DDF4FA1-C315-4F13-B2E2-E9487541CF5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19/05</t>
        </r>
      </text>
    </comment>
    <comment ref="K68" authorId="0" shapeId="0" xr:uid="{7BB7362D-C505-4BC9-89B2-E9BAFC8839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68" authorId="0" shapeId="0" xr:uid="{EF3F1E4A-9AC7-4447-9C16-4EF3022C04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68" authorId="0" shapeId="0" xr:uid="{A9DEA5A4-E9CB-4A9E-8FCA-51C7C4325FC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68" authorId="0" shapeId="0" xr:uid="{9825F7E1-7822-4F9A-8E60-8E50B4B87AF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68" authorId="0" shapeId="0" xr:uid="{721400CC-5E08-45D4-9F01-0D1277E4C8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19/10</t>
        </r>
      </text>
    </comment>
    <comment ref="P68" authorId="0" shapeId="0" xr:uid="{E1721488-63F9-401F-B774-56F44DA1727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68" authorId="0" shapeId="0" xr:uid="{FE4E49E5-5181-4E04-8826-2E60CAD35C7B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27/12</t>
        </r>
      </text>
    </comment>
    <comment ref="F69" authorId="0" shapeId="0" xr:uid="{1BB50D1E-9035-471C-B9F7-16092BF978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69" authorId="0" shapeId="0" xr:uid="{E666F2DD-71C0-4FBD-AD03-CF38363694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69" authorId="0" shapeId="0" xr:uid="{5F17482F-4E8E-49A7-9AAD-4985B3A853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69" authorId="0" shapeId="0" xr:uid="{A2D01A3A-A5D7-455A-A0EB-40C932A6B2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69" authorId="0" shapeId="0" xr:uid="{04420B6C-4BA2-409C-939E-6DEC7BF0BC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19/05</t>
        </r>
      </text>
    </comment>
    <comment ref="K69" authorId="0" shapeId="0" xr:uid="{9AC0EDE8-75E6-4723-81AC-54391F658C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69" authorId="0" shapeId="0" xr:uid="{A140E77B-5787-4F76-ACF4-B4852FF0A9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21/07</t>
        </r>
      </text>
    </comment>
    <comment ref="M69" authorId="0" shapeId="0" xr:uid="{B1D2F08C-71A9-4B56-B17B-CB736830A64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69" authorId="0" shapeId="0" xr:uid="{E80A6F36-6978-4438-9D21-89E379E7CD1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69" authorId="0" shapeId="0" xr:uid="{C89955E6-A511-4EEF-8A6F-5E92CF6A9DC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20/10</t>
        </r>
      </text>
    </comment>
    <comment ref="P69" authorId="0" shapeId="0" xr:uid="{43EBBC80-3522-471B-B9ED-F05E46C7AD6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69" authorId="0" shapeId="0" xr:uid="{DDB66153-6455-481D-9120-954E48110D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70" authorId="0" shapeId="0" xr:uid="{D318B980-8EB8-43B9-B88A-5C6137B996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23/01</t>
        </r>
      </text>
    </comment>
    <comment ref="G70" authorId="0" shapeId="0" xr:uid="{98B8E2BF-EE38-437E-977C-B5EBEE33A15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70" authorId="0" shapeId="0" xr:uid="{2CFE11CC-FA6A-46A4-BBB6-07500C9F66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70" authorId="0" shapeId="0" xr:uid="{257F8F47-B4DA-4DF4-BBF6-ED61C0B372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70" authorId="0" shapeId="0" xr:uid="{B857FA7E-56CC-423B-9C5A-FE9E09C465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70" authorId="0" shapeId="0" xr:uid="{CE07F82B-B351-49FC-9CDA-E22205142F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20/06</t>
        </r>
      </text>
    </comment>
    <comment ref="L70" authorId="0" shapeId="0" xr:uid="{BB3628EC-5F4C-4999-ADFB-B55627EBBC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24/07</t>
        </r>
      </text>
    </comment>
    <comment ref="M70" authorId="0" shapeId="0" xr:uid="{9F1B96E0-A001-46D6-A01F-7F72E25749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20/08</t>
        </r>
      </text>
    </comment>
    <comment ref="N70" authorId="0" shapeId="0" xr:uid="{F03287E1-5BC2-40B2-BAA8-F7719279E7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20/09</t>
        </r>
      </text>
    </comment>
    <comment ref="O70" authorId="0" shapeId="0" xr:uid="{63099E45-1F00-4719-91EB-0C62899D46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22/10</t>
        </r>
      </text>
    </comment>
    <comment ref="P70" authorId="0" shapeId="0" xr:uid="{D4403558-13F1-4B66-A534-DDAC88A161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70" authorId="0" shapeId="0" xr:uid="{1CCDA20E-B598-4CA4-AFFC-F853885003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71" authorId="0" shapeId="0" xr:uid="{F9C4205D-2298-47DF-9E0F-90F418442DE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29/01 329.62
S/0.05 Dic24</t>
        </r>
      </text>
    </comment>
    <comment ref="G71" authorId="0" shapeId="0" xr:uid="{C4041BFA-BF91-4631-B9B8-D6ABC6F524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71" authorId="0" shapeId="0" xr:uid="{FF21D3A9-2F97-4B1D-A420-B43C826B5D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71" authorId="0" shapeId="0" xr:uid="{447958E3-BBB8-4925-83E6-4CC63D95B7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J71" authorId="0" shapeId="0" xr:uid="{696B8EB0-2C1C-4477-8B34-07761259D4B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26/05</t>
        </r>
      </text>
    </comment>
    <comment ref="K71" authorId="0" shapeId="0" xr:uid="{AE79C6DD-8246-43BC-9132-C2962A6259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24/06</t>
        </r>
      </text>
    </comment>
    <comment ref="L71" authorId="0" shapeId="0" xr:uid="{F5C212AB-C092-4293-8183-37BA31316A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24/07</t>
        </r>
      </text>
    </comment>
    <comment ref="M71" authorId="0" shapeId="0" xr:uid="{C9BFF9C3-FB33-42DD-8CAC-3B4CF67A47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27/09</t>
        </r>
      </text>
    </comment>
    <comment ref="N71" authorId="0" shapeId="0" xr:uid="{14D9B988-DFFA-4F8C-9165-8384018F7B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23/09</t>
        </r>
      </text>
    </comment>
    <comment ref="O71" authorId="0" shapeId="0" xr:uid="{356ABDC7-AF6B-4F82-AB8D-F4283C0E12B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27/10</t>
        </r>
      </text>
    </comment>
    <comment ref="P71" authorId="0" shapeId="0" xr:uid="{A452AF7D-00F7-4E26-8D18-9E87B02BD6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27/12</t>
        </r>
      </text>
    </comment>
    <comment ref="F72" authorId="0" shapeId="0" xr:uid="{1647FD14-B5C9-4E6C-BBE7-0AD3874E27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72" authorId="0" shapeId="0" xr:uid="{B0C97E4C-A476-4E5C-AB02-E786D241646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14/03</t>
        </r>
      </text>
    </comment>
    <comment ref="H72" authorId="0" shapeId="0" xr:uid="{7419D0AF-15BB-4DA9-BDB5-7250D0D48F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72" authorId="0" shapeId="0" xr:uid="{C693458A-A336-4986-9702-47710599B1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03/05</t>
        </r>
      </text>
    </comment>
    <comment ref="J72" authorId="0" shapeId="0" xr:uid="{FFCB6D30-986D-430F-822A-328CADB160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K72" authorId="0" shapeId="0" xr:uid="{FB08BC9C-6808-4767-B86C-1C2C64AB64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11/07</t>
        </r>
      </text>
    </comment>
    <comment ref="L72" authorId="0" shapeId="0" xr:uid="{C3D91E10-91C0-4EBF-AA0A-CD41816155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M72" authorId="0" shapeId="0" xr:uid="{BEC79299-75A1-4968-B92B-20A630E504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12/09</t>
        </r>
      </text>
    </comment>
    <comment ref="N72" authorId="0" shapeId="0" xr:uid="{098A6DD2-AD97-4F63-A2F2-9FDC9C8EB8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26/09</t>
        </r>
      </text>
    </comment>
    <comment ref="O72" authorId="0" shapeId="0" xr:uid="{E95AB00F-45FD-41ED-9161-6C4724FC48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72" authorId="0" shapeId="0" xr:uid="{D284C78E-08EE-4CCB-84B3-2BD3B17C53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02/12</t>
        </r>
      </text>
    </comment>
    <comment ref="Q72" authorId="0" shapeId="0" xr:uid="{3CBBF7CA-C293-4CC8-B247-3BBF8DE9810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05/01 </t>
        </r>
      </text>
    </comment>
    <comment ref="F73" authorId="0" shapeId="0" xr:uid="{0B71A7C9-B8E1-4EE9-B4E6-D05B698A1D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73" authorId="0" shapeId="0" xr:uid="{876333D2-C9EA-44FE-A6D7-8C09D295B87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73" authorId="0" shapeId="0" xr:uid="{85FEA061-C324-41B9-881B-FAD825DA6B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73" authorId="0" shapeId="0" xr:uid="{9CA4E7B2-7806-494B-81D9-BC74016B64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73" authorId="0" shapeId="0" xr:uid="{B198791E-0E73-47D5-9DD5-40DB7390B7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73" authorId="0" shapeId="0" xr:uid="{5DDE3908-C492-4415-9BC6-76BEE0D166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73" authorId="0" shapeId="0" xr:uid="{0B90F701-C33C-45E2-BF28-88EC237C83F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17/07</t>
        </r>
      </text>
    </comment>
    <comment ref="M73" authorId="0" shapeId="0" xr:uid="{9D5D74D7-8673-47DD-A1E4-4914F5B572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N73" authorId="0" shapeId="0" xr:uid="{FD44D554-BD96-43EE-A0EF-3CC03C6B95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73" authorId="0" shapeId="0" xr:uid="{39AA9DF4-756B-4A97-AECE-78F54E25178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20/10</t>
        </r>
      </text>
    </comment>
    <comment ref="P73" authorId="0" shapeId="0" xr:uid="{33BA7627-A529-423A-BB48-BA13E1B82D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73" authorId="0" shapeId="0" xr:uid="{C78FFEE2-901A-4C4C-A726-7A2A2695501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H74" authorId="0" shapeId="0" xr:uid="{4FB6BC90-998B-422E-9B26-ABEC01A5C6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 </t>
        </r>
      </text>
    </comment>
    <comment ref="J74" authorId="0" shapeId="0" xr:uid="{81A120F6-967D-42AD-A7F5-B50C788D90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05/06</t>
        </r>
      </text>
    </comment>
    <comment ref="M74" authorId="0" shapeId="0" xr:uid="{8F080C1D-917E-4326-A7BA-764A3E51774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O74" authorId="0" shapeId="0" xr:uid="{5B843D7D-D359-4B3E-B6FA-D7F25B807F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26/10</t>
        </r>
      </text>
    </comment>
    <comment ref="F75" authorId="0" shapeId="0" xr:uid="{650827EF-993D-4BB2-8E7D-6DAC9988092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75" authorId="0" shapeId="0" xr:uid="{3D1134F4-F5BF-412B-990A-9BF74C3034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75" authorId="0" shapeId="0" xr:uid="{575CCB8A-6E55-4E28-933E-A072C56E58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75" authorId="0" shapeId="0" xr:uid="{6B081B8F-FA22-4186-8AF6-BA31E65CB1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75" authorId="0" shapeId="0" xr:uid="{AA696687-220A-409B-8EB9-FA4DEA7339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17/05</t>
        </r>
      </text>
    </comment>
    <comment ref="K75" authorId="0" shapeId="0" xr:uid="{7ADDFAE3-CDEA-403E-B653-6C58EC1DAF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75" authorId="0" shapeId="0" xr:uid="{155A3986-E275-4929-BB6B-4AACB9D6C3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M75" authorId="0" shapeId="0" xr:uid="{398BFC50-526F-41EC-AFAC-5F1C4FC6F1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16/08</t>
        </r>
      </text>
    </comment>
    <comment ref="N75" authorId="0" shapeId="0" xr:uid="{3C4BA6C0-9370-4911-8D0B-84F3D1F47B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75" authorId="0" shapeId="0" xr:uid="{E5F88FC8-7D15-47EB-B20F-D32EA6BF6F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18/10</t>
        </r>
      </text>
    </comment>
    <comment ref="P75" authorId="0" shapeId="0" xr:uid="{0B2D0F6E-EC57-4EB2-86CA-5AED0A56698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75" authorId="0" shapeId="0" xr:uid="{F1FD2CB4-0400-4C2C-8665-9B8D03E91D1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76" authorId="0" shapeId="0" xr:uid="{6692ABC2-0339-4298-BF69-B2961B1A97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02/01 S/380.00
15/01 S/81.21</t>
        </r>
      </text>
    </comment>
    <comment ref="G76" authorId="0" shapeId="0" xr:uid="{C1BABAA9-F90B-4C67-B9F5-5CF7A883661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13/02</t>
        </r>
      </text>
    </comment>
    <comment ref="H76" authorId="0" shapeId="0" xr:uid="{1086655E-E1C1-41DB-B2D6-A1714552BF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07/06</t>
        </r>
      </text>
    </comment>
    <comment ref="I76" authorId="0" shapeId="0" xr:uid="{E3AA8B1E-2797-466A-9105-993BD8761F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11/07</t>
        </r>
      </text>
    </comment>
    <comment ref="K76" authorId="0" shapeId="0" xr:uid="{49E79792-D669-44E5-8815-3727A0424E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M76" authorId="0" shapeId="0" xr:uid="{07DFA5D2-9B7A-444D-AB04-0F6ABB2AF2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F77" authorId="0" shapeId="0" xr:uid="{3F9686AF-120A-420A-80E6-D40C8321FB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</t>
        </r>
      </text>
    </comment>
    <comment ref="G77" authorId="0" shapeId="0" xr:uid="{D4451B63-2D8E-464B-B3E5-1FEB3BB6A2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15/02</t>
        </r>
      </text>
    </comment>
    <comment ref="H77" authorId="0" shapeId="0" xr:uid="{E3CEC869-FD80-4FBB-BA3F-0E4D9ED68E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I77" authorId="0" shapeId="0" xr:uid="{3EB57827-278C-40EA-85E4-E0A4EEE9C7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77" authorId="0" shapeId="0" xr:uid="{A3D7C333-AA30-4BC3-8DBF-522D3AEF11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24/05</t>
        </r>
      </text>
    </comment>
    <comment ref="K77" authorId="0" shapeId="0" xr:uid="{68720D9E-5B12-47B1-8800-E4568F8EDF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20/06</t>
        </r>
      </text>
    </comment>
    <comment ref="L77" authorId="0" shapeId="0" xr:uid="{40DA293F-80E7-4299-AAFF-D9CF3099D9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M77" authorId="0" shapeId="0" xr:uid="{083216FA-9589-4E69-81F2-11723D5A2E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77" authorId="0" shapeId="0" xr:uid="{ECABB75C-3511-4EC0-89F8-4251C96DDF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24/09</t>
        </r>
      </text>
    </comment>
    <comment ref="O77" authorId="0" shapeId="0" xr:uid="{AF5A2375-AB31-4EED-9D08-CC7655A11E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P77" authorId="0" shapeId="0" xr:uid="{0C628458-3DC0-430D-A589-0C36E92ACD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77" authorId="0" shapeId="0" xr:uid="{8145C84A-B1F3-45DF-A5CC-B98A91A3FD3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03/12</t>
        </r>
      </text>
    </comment>
    <comment ref="F78" authorId="0" shapeId="0" xr:uid="{6B4D9E87-E8FB-4A48-A867-AC9DFF003E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30/01 S/350.00 - S/3.04 Dic24</t>
        </r>
      </text>
    </comment>
    <comment ref="G78" authorId="0" shapeId="0" xr:uid="{0BE65D68-F51F-4B59-9DA5-4B1F8F32C4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H78" authorId="0" shapeId="0" xr:uid="{B2DAC3B4-0876-48E1-B9DC-B66B27D5F2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78" authorId="0" shapeId="0" xr:uid="{D72A48DD-84B4-4141-A1EC-373D977BDF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J78" authorId="0" shapeId="0" xr:uid="{9B85B33B-9235-4DB8-B412-BA8BEA242E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K78" authorId="0" shapeId="0" xr:uid="{0AB4B0EF-D8C9-40A1-9AED-0D2E94C7E10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27/06</t>
        </r>
      </text>
    </comment>
    <comment ref="L78" authorId="0" shapeId="0" xr:uid="{88EBEA43-4351-46FE-AFE0-CD17306AFB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30/07</t>
        </r>
      </text>
    </comment>
    <comment ref="M78" authorId="0" shapeId="0" xr:uid="{DA071F6A-EC53-4DF4-8460-501AA727C8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29/08</t>
        </r>
      </text>
    </comment>
    <comment ref="N78" authorId="0" shapeId="0" xr:uid="{8B39DBFB-AFD2-445B-8C41-E2FAF47E79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O78" authorId="0" shapeId="0" xr:uid="{A9761B2D-6FC4-4CA0-941C-843ED4B546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30/10</t>
        </r>
      </text>
    </comment>
    <comment ref="P78" authorId="0" shapeId="0" xr:uid="{F20563C3-D615-49B5-A391-3988AA42A67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27/11</t>
        </r>
      </text>
    </comment>
    <comment ref="Q78" authorId="0" shapeId="0" xr:uid="{54047302-64CD-4A50-8552-4F3C75B61D4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29/12</t>
        </r>
      </text>
    </comment>
    <comment ref="F79" authorId="0" shapeId="0" xr:uid="{916F5E30-5AC1-44DF-B75F-99C57F0CFF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30/01</t>
        </r>
      </text>
    </comment>
    <comment ref="G79" authorId="0" shapeId="0" xr:uid="{9E5B8666-EB49-4804-81A5-B178808C91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79" authorId="0" shapeId="0" xr:uid="{F53135B2-4067-4026-B4CF-D610FD86295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79" authorId="0" shapeId="0" xr:uid="{5FB96972-48CA-458A-96A9-D00627CD45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J79" authorId="0" shapeId="0" xr:uid="{74D71AE1-693C-42AC-B368-D1A98246F19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K79" authorId="0" shapeId="0" xr:uid="{0CAC4444-5A96-4BFB-AACF-A247C398D28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 S/435.00
02/0 S/18.00</t>
        </r>
      </text>
    </comment>
    <comment ref="L79" authorId="0" shapeId="0" xr:uid="{6F422146-5496-4681-B8EC-8DCCDF799E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31/07</t>
        </r>
      </text>
    </comment>
    <comment ref="M79" authorId="0" shapeId="0" xr:uid="{5FCADB56-391F-4C1E-8400-085A9B6CAD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</t>
        </r>
      </text>
    </comment>
    <comment ref="N79" authorId="0" shapeId="0" xr:uid="{0ACA20CD-E612-4780-A1CE-C5CD736181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O79" authorId="0" shapeId="0" xr:uid="{D38125DD-FDA4-4A39-B3FD-D1B1EBA095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P79" authorId="0" shapeId="0" xr:uid="{F66617BC-DE59-4F6E-98FA-28DBF7768E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28/11</t>
        </r>
      </text>
    </comment>
    <comment ref="Q79" authorId="0" shapeId="0" xr:uid="{CAC0C8C9-790C-42FC-A234-BD5835D52A3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30/12</t>
        </r>
      </text>
    </comment>
    <comment ref="F80" authorId="0" shapeId="0" xr:uid="{DED620B1-880C-45D2-90E1-A296D046108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80" authorId="0" shapeId="0" xr:uid="{0291B9CF-1817-45D1-A4C7-72151A892D6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80" authorId="0" shapeId="0" xr:uid="{84B1B4E5-E007-4904-83B6-08F2BCDCD9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80" authorId="0" shapeId="0" xr:uid="{27ED1ADF-85F5-4DF0-BB8B-E40250292C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J80" authorId="0" shapeId="0" xr:uid="{756D40D2-4526-425B-B3C6-F9D5DAF27C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02/07</t>
        </r>
      </text>
    </comment>
    <comment ref="M80" authorId="0" shapeId="0" xr:uid="{F99D262E-F40C-4579-914A-DD457359CB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16/08</t>
        </r>
      </text>
    </comment>
    <comment ref="N80" authorId="0" shapeId="0" xr:uid="{387ADB34-76EE-44BD-999B-529119FCA54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80" authorId="0" shapeId="0" xr:uid="{511036F1-2BE5-426B-94FB-C22B8A2C885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18/10</t>
        </r>
      </text>
    </comment>
    <comment ref="P80" authorId="0" shapeId="0" xr:uid="{33635C9B-9DE8-47DD-A1A5-7282F207F1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22/11</t>
        </r>
      </text>
    </comment>
    <comment ref="Q80" authorId="0" shapeId="0" xr:uid="{78794D67-84A3-4FB8-861F-D908A74E7B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26/12</t>
        </r>
      </text>
    </comment>
    <comment ref="H81" authorId="0" shapeId="0" xr:uid="{453BB9AC-DEF2-4649-B4F1-5F9BB884D6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K81" authorId="0" shapeId="0" xr:uid="{A60E4245-C3F8-4E35-8456-B08D5ABDE5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81" authorId="0" shapeId="0" xr:uid="{4754AE45-17F4-4D51-A1EA-705F0E70F8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17/07</t>
        </r>
      </text>
    </comment>
    <comment ref="M81" authorId="0" shapeId="0" xr:uid="{14F80A8D-7EB7-4358-9B83-7F651F2B5F0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20/08</t>
        </r>
      </text>
    </comment>
    <comment ref="N81" authorId="0" shapeId="0" xr:uid="{35759856-E4CA-47E8-8FF6-6B32760A5DA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81" authorId="0" shapeId="0" xr:uid="{D6248E6D-46E0-47DA-A58E-C6A660D1AB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P81" authorId="0" shapeId="0" xr:uid="{0CDF2CED-4D0B-4850-A36A-ADD1680A53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81" authorId="0" shapeId="0" xr:uid="{0CE04839-64B6-487B-98BC-35D8440C7B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82" authorId="0" shapeId="0" xr:uid="{64CD9FE8-8EA7-4224-A6A8-B110FD28E5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82" authorId="0" shapeId="0" xr:uid="{D7E5401E-5F3C-4B06-95E8-E95CDB9889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05/03</t>
        </r>
      </text>
    </comment>
    <comment ref="I82" authorId="0" shapeId="0" xr:uid="{9BBD1D71-0356-4F8A-83BA-700AEC4250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82" authorId="0" shapeId="0" xr:uid="{913569DC-9421-4111-8A22-1B93C5CB24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K82" authorId="0" shapeId="0" xr:uid="{FE3E659E-DB48-46F2-8267-DE4980905F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27/06</t>
        </r>
      </text>
    </comment>
    <comment ref="L82" authorId="0" shapeId="0" xr:uid="{4E9A157D-FE1A-41B3-AF1C-E7255E7FF1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30/07</t>
        </r>
      </text>
    </comment>
    <comment ref="N82" authorId="0" shapeId="0" xr:uid="{5C471491-AEDF-440F-BE45-305AA7D20E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O82" authorId="0" shapeId="0" xr:uid="{D1035BDB-0577-4340-8E27-0553C26863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P82" authorId="0" shapeId="0" xr:uid="{F8E23ECE-937E-4A93-BA46-D765B0F57A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27/11</t>
        </r>
      </text>
    </comment>
    <comment ref="Q82" authorId="0" shapeId="0" xr:uid="{371135FE-3D5C-4D84-84D0-9F0CD994903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02/01</t>
        </r>
      </text>
    </comment>
    <comment ref="H83" authorId="0" shapeId="0" xr:uid="{19F447A7-FE0F-42F9-9D69-3CFA76CC79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J83" authorId="0" shapeId="0" xr:uid="{02D3F93A-4F6B-431A-98DC-992F1B29B0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83" authorId="0" shapeId="0" xr:uid="{77EF9A22-B2A9-4A3D-A1D0-44DCE984BE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28/06</t>
        </r>
      </text>
    </comment>
    <comment ref="L83" authorId="0" shapeId="0" xr:uid="{46C09B25-0EB0-42FA-8985-5520E32888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10/08</t>
        </r>
      </text>
    </comment>
    <comment ref="M83" authorId="0" shapeId="0" xr:uid="{86CC04A7-369B-4AED-8BF1-AAC8E7E68B7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23/09</t>
        </r>
      </text>
    </comment>
    <comment ref="N83" authorId="0" shapeId="0" xr:uid="{7A895B90-52D9-45DA-A354-56BE848CCD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23/09</t>
        </r>
      </text>
    </comment>
    <comment ref="O83" authorId="0" shapeId="0" xr:uid="{A6ACE8B7-F3D9-4DC2-B5B1-8C5E419E80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83" authorId="0" shapeId="0" xr:uid="{8F3ECD3B-01EC-48CF-B233-113A8E376D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29/11</t>
        </r>
      </text>
    </comment>
    <comment ref="Q83" authorId="0" shapeId="0" xr:uid="{D2F2F832-1B3D-4F93-A352-7AB3E03152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84" authorId="0" shapeId="0" xr:uid="{13AD20DD-FE56-4CFF-9382-A524B7C1C6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</t>
        </r>
      </text>
    </comment>
    <comment ref="G84" authorId="0" shapeId="0" xr:uid="{70332D65-CDCE-4250-8A08-E793CC90F1A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84" authorId="0" shapeId="0" xr:uid="{A3CA49C5-B8D4-4355-91EE-D3504D83D6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84" authorId="0" shapeId="0" xr:uid="{2F81426C-3F42-48F0-B339-BD8550B413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84" authorId="0" shapeId="0" xr:uid="{B06824B2-5401-4B45-B45D-E5F9953892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84" authorId="0" shapeId="0" xr:uid="{5CADC43B-267C-4D65-AEB5-D071442FA2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17/06</t>
        </r>
      </text>
    </comment>
    <comment ref="L84" authorId="0" shapeId="0" xr:uid="{093FB81C-AB94-4805-AE26-9CA13BE997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15/07</t>
        </r>
      </text>
    </comment>
    <comment ref="M84" authorId="0" shapeId="0" xr:uid="{72ECE45C-4A4A-4CAB-9BE1-741EA4B061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17/08</t>
        </r>
      </text>
    </comment>
    <comment ref="N84" authorId="0" shapeId="0" xr:uid="{5B6F19CA-3166-40B8-826C-3110DE9096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15/09</t>
        </r>
      </text>
    </comment>
    <comment ref="O84" authorId="0" shapeId="0" xr:uid="{DD9EEFF6-44E2-40F6-B133-1046577274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20/10</t>
        </r>
      </text>
    </comment>
    <comment ref="P84" authorId="0" shapeId="0" xr:uid="{7CE799F6-4F88-4A4C-9E05-10472F3152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17/11</t>
        </r>
      </text>
    </comment>
    <comment ref="Q84" authorId="0" shapeId="0" xr:uid="{5AF464B4-9F26-4BC9-902D-206ACF2E1D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85" authorId="0" shapeId="0" xr:uid="{BBDBDA1A-875A-46EC-9CB2-83572443C6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</t>
        </r>
      </text>
    </comment>
    <comment ref="G85" authorId="0" shapeId="0" xr:uid="{13EF4EF3-237B-4D28-8D5C-5B6182D175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85" authorId="0" shapeId="0" xr:uid="{B7BDB68E-D783-4AB0-85C1-623E269265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I85" authorId="0" shapeId="0" xr:uid="{A0AC32BB-D6AE-44C5-ADA9-8CBFF70D7D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J85" authorId="0" shapeId="0" xr:uid="{D17B9EB8-DDC0-4336-B827-6AEB9B04D3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K85" authorId="0" shapeId="0" xr:uid="{98BD969B-C77D-4833-9271-3E49F397A9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25/06</t>
        </r>
      </text>
    </comment>
    <comment ref="L85" authorId="0" shapeId="0" xr:uid="{45000339-A06C-4D1E-B7B3-0CC0D5DFAA8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</t>
        </r>
      </text>
    </comment>
    <comment ref="M85" authorId="0" shapeId="0" xr:uid="{DBBAA607-26BC-4068-AE7B-EB142522FC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28/08</t>
        </r>
      </text>
    </comment>
    <comment ref="N85" authorId="0" shapeId="0" xr:uid="{B855CEAB-BB06-4CB6-B727-463B2845CE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O85" authorId="0" shapeId="0" xr:uid="{500A6414-F19A-4D0F-B968-440548CDE6F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28/10</t>
        </r>
      </text>
    </comment>
    <comment ref="P85" authorId="0" shapeId="0" xr:uid="{7EAA5E22-786C-492F-B2F0-7A719DA5C6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26/11</t>
        </r>
      </text>
    </comment>
    <comment ref="F86" authorId="0" shapeId="0" xr:uid="{BF855242-05A3-4C97-A0E5-9626FE0C3E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86" authorId="0" shapeId="0" xr:uid="{177F8585-35EC-4ADE-9215-4E7C4C6410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86" authorId="0" shapeId="0" xr:uid="{A8212D05-51B4-417E-8A1A-16D4825A7A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21/03</t>
        </r>
      </text>
    </comment>
    <comment ref="I86" authorId="0" shapeId="0" xr:uid="{D10CE4EF-09DE-4C90-825D-2192210BA98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86" authorId="0" shapeId="0" xr:uid="{9E7D9A33-06BE-4D4E-AA4D-726803B6E56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86" authorId="0" shapeId="0" xr:uid="{00857BE3-059F-4210-B1C8-15D4C7F57A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09/07</t>
        </r>
      </text>
    </comment>
    <comment ref="L86" authorId="0" shapeId="0" xr:uid="{00D8D1CB-CB34-48D8-913A-5474228330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M86" authorId="0" shapeId="0" xr:uid="{5BA86EA8-49E3-4A8E-82E1-03DEA46D8C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</t>
        </r>
      </text>
    </comment>
    <comment ref="N86" authorId="0" shapeId="0" xr:uid="{831EB857-F9F5-473D-A2B3-1B9063E49E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06/10</t>
        </r>
      </text>
    </comment>
    <comment ref="O86" authorId="0" shapeId="0" xr:uid="{87F87440-EE50-4AEC-A312-E32AB648D8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05/11</t>
        </r>
      </text>
    </comment>
    <comment ref="P86" authorId="0" shapeId="0" xr:uid="{23287526-1DFC-424C-A842-3378B93D57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12/12 S/382.25
12/12 S/5.58</t>
        </r>
      </text>
    </comment>
    <comment ref="F87" authorId="0" shapeId="0" xr:uid="{4B8B82EE-29A5-4F26-AC6A-EFFC35ABF4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87" authorId="0" shapeId="0" xr:uid="{F6AAE3A9-31FE-44A3-8DB0-D6F10CC37E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87" authorId="0" shapeId="0" xr:uid="{52CE98E3-6329-4DB6-B3D2-C40BD710F71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87" authorId="0" shapeId="0" xr:uid="{451A4C78-EC14-4069-B2F3-FAEF7E5D90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J87" authorId="0" shapeId="0" xr:uid="{C110AB81-2B1D-4B69-BD82-38248B93627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23/05</t>
        </r>
      </text>
    </comment>
    <comment ref="K87" authorId="0" shapeId="0" xr:uid="{16DBA5E9-22C1-49E0-B7E8-F1CF3A9AF2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87" authorId="0" shapeId="0" xr:uid="{7414B7B2-D76E-46AC-BFEC-03970783D5B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M87" authorId="0" shapeId="0" xr:uid="{DC733D18-D1B8-4013-B235-4AEFD57F683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87" authorId="0" shapeId="0" xr:uid="{5031D915-6627-4E36-8E33-9EA8D4A71F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O87" authorId="0" shapeId="0" xr:uid="{6EF76896-8AF8-4368-87BC-F3D6D5766C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23/10</t>
        </r>
      </text>
    </comment>
    <comment ref="P87" authorId="0" shapeId="0" xr:uid="{7A561814-04F3-4840-93E0-8A7E9D1F9F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87" authorId="0" shapeId="0" xr:uid="{BD0B18EA-37F1-4C95-B692-C8C502C8B0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20/12</t>
        </r>
      </text>
    </comment>
    <comment ref="J88" authorId="0" shapeId="0" xr:uid="{BDCDEC45-6F53-4695-8F70-0189115628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10/07</t>
        </r>
      </text>
    </comment>
    <comment ref="M88" authorId="0" shapeId="0" xr:uid="{D13B5244-7723-459F-B2FC-AFB8E800908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27/08</t>
        </r>
      </text>
    </comment>
    <comment ref="N88" authorId="0" shapeId="0" xr:uid="{939E056B-254D-4C0F-B112-79C603079E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</t>
        </r>
      </text>
    </comment>
    <comment ref="O88" authorId="0" shapeId="0" xr:uid="{A4440B9A-AC56-4DCE-A340-D047010E5D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02/11</t>
        </r>
      </text>
    </comment>
    <comment ref="P88" authorId="0" shapeId="0" xr:uid="{26BDDB0F-B6E7-49F6-B384-D98243B1E4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02/12</t>
        </r>
      </text>
    </comment>
    <comment ref="F89" authorId="0" shapeId="0" xr:uid="{B5E8DE9A-D7D7-4963-9BF9-5CDA6F16E7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02/02</t>
        </r>
      </text>
    </comment>
    <comment ref="G89" authorId="0" shapeId="0" xr:uid="{D36FBF56-3992-4574-ADEF-871458D554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09/03</t>
        </r>
      </text>
    </comment>
    <comment ref="H89" authorId="0" shapeId="0" xr:uid="{07EC9320-4761-4C53-881D-A01B1E5DF63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89" authorId="0" shapeId="0" xr:uid="{83E08360-50C0-4555-AED8-20599115AF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08/05</t>
        </r>
      </text>
    </comment>
    <comment ref="J89" authorId="0" shapeId="0" xr:uid="{3477DE47-2A3B-4685-B0FC-5B8F158720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25/05</t>
        </r>
      </text>
    </comment>
    <comment ref="K89" authorId="0" shapeId="0" xr:uid="{36439F90-D1E1-4759-9A86-B292507304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29/06</t>
        </r>
      </text>
    </comment>
    <comment ref="L89" authorId="0" shapeId="0" xr:uid="{9D9E7F2E-DA64-469F-A3D4-5DB29647F72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02/08</t>
        </r>
      </text>
    </comment>
    <comment ref="N89" authorId="0" shapeId="0" xr:uid="{4F16E656-BECC-48B3-BE6C-381B47C9D7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27/09</t>
        </r>
      </text>
    </comment>
    <comment ref="O89" authorId="0" shapeId="0" xr:uid="{A7417651-2926-4416-AA02-C5D2039ABF5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02/11</t>
        </r>
      </text>
    </comment>
    <comment ref="P89" authorId="0" shapeId="0" xr:uid="{5AED90AA-28DB-472F-9AFA-1890767CF9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02/12</t>
        </r>
      </text>
    </comment>
    <comment ref="Q89" authorId="0" shapeId="0" xr:uid="{007C090D-7A59-4D6F-AC7C-9AD32EF5F792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02/01</t>
        </r>
      </text>
    </comment>
    <comment ref="F90" authorId="0" shapeId="0" xr:uid="{2117AF59-DF9C-44A8-A2E0-843FB0B103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</t>
        </r>
      </text>
    </comment>
    <comment ref="G90" authorId="0" shapeId="0" xr:uid="{49331B12-AA88-49AB-AC36-CC6FCDDE68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90" authorId="0" shapeId="0" xr:uid="{2E71F3BB-1173-46C8-AE57-7E7CCBF1D1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15/03</t>
        </r>
      </text>
    </comment>
    <comment ref="I90" authorId="0" shapeId="0" xr:uid="{D1D03C77-5F39-4B74-A101-2B0F188B20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90" authorId="0" shapeId="0" xr:uid="{1441DF7A-0C84-4E09-9810-3864842719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  </t>
        </r>
      </text>
    </comment>
    <comment ref="K90" authorId="0" shapeId="0" xr:uid="{4B4BB5C4-73F0-4E56-A37A-D14A71D6FC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25/06</t>
        </r>
      </text>
    </comment>
    <comment ref="L90" authorId="0" shapeId="0" xr:uid="{BBD1CAAE-5783-460F-8916-D9473EEC4B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21/07</t>
        </r>
      </text>
    </comment>
    <comment ref="M90" authorId="0" shapeId="0" xr:uid="{D4CAEC4B-DB48-4AD0-ACED-4BA231926C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20/08</t>
        </r>
      </text>
    </comment>
    <comment ref="N90" authorId="0" shapeId="0" xr:uid="{A8976096-0659-4D36-A1C8-69C40592655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90" authorId="0" shapeId="0" xr:uid="{34001790-C90F-403C-9FEA-A25157B083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17/10 </t>
        </r>
      </text>
    </comment>
    <comment ref="P90" authorId="0" shapeId="0" xr:uid="{0F545FB5-65CA-4AF6-8BF9-9B408C1A3D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90" authorId="0" shapeId="0" xr:uid="{A38BDDC7-6943-420F-AEA8-A152FDF984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K91" authorId="0" shapeId="0" xr:uid="{1EBC942E-CFF4-4395-9543-D98E7A50831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27/06 S/2,900.00-397.89/2024</t>
        </r>
      </text>
    </comment>
    <comment ref="P91" authorId="0" shapeId="0" xr:uid="{57CD0C73-DCC2-40A9-8059-2FD363BC82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10/12</t>
        </r>
      </text>
    </comment>
    <comment ref="F92" authorId="0" shapeId="0" xr:uid="{35568DB3-DA4D-40EA-80CF-F74084367A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92" authorId="0" shapeId="0" xr:uid="{717A5A28-CA8D-4337-8BF1-13E047444F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92" authorId="0" shapeId="0" xr:uid="{48FEA0D3-91CC-4AEF-9855-15F884170B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92" authorId="0" shapeId="0" xr:uid="{77B15834-15B4-4EEB-AED2-A4B174DCB1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 S/387.15
02/05 S/100.00</t>
        </r>
      </text>
    </comment>
    <comment ref="K92" authorId="0" shapeId="0" xr:uid="{A2CE5190-DF69-4CF9-8FB8-75B4A107E7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25/06</t>
        </r>
      </text>
    </comment>
    <comment ref="L92" authorId="0" shapeId="0" xr:uid="{34BE793F-CC3A-4999-8DED-60CEBFA24F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30/07</t>
        </r>
      </text>
    </comment>
    <comment ref="M92" authorId="0" shapeId="0" xr:uid="{7A9D93B9-10F5-430E-A84B-1DC9914E43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03/09</t>
        </r>
      </text>
    </comment>
    <comment ref="N92" authorId="0" shapeId="0" xr:uid="{AC1FC251-9DC4-4B85-A509-F9CE4221E6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92" authorId="0" shapeId="0" xr:uid="{E18D7D57-1BD4-402B-AD49-3ED3885126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02/11</t>
        </r>
      </text>
    </comment>
    <comment ref="P92" authorId="0" shapeId="0" xr:uid="{2CB5957D-45A2-4644-837A-5C4BC7FE6E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92" authorId="0" shapeId="0" xr:uid="{8FEC758C-4F68-4864-8F37-23ECBB1A70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19/12</t>
        </r>
      </text>
    </comment>
    <comment ref="F93" authorId="0" shapeId="0" xr:uid="{3D91B77E-1C08-4084-8693-412AB51B00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16/07</t>
        </r>
      </text>
    </comment>
    <comment ref="G93" authorId="0" shapeId="0" xr:uid="{01D20911-ACE2-4938-8A96-79F873B700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22/08 S/500.00
22/08 S/240.00</t>
        </r>
      </text>
    </comment>
    <comment ref="H93" authorId="0" shapeId="0" xr:uid="{D33D57AE-4AD7-4487-A3CA-E1F994255E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I93" authorId="0" shapeId="0" xr:uid="{2B64FEED-EF66-4E59-AE1B-8D66EC53D0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J93" authorId="0" shapeId="0" xr:uid="{57415996-6371-4806-AD46-2922154B89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19/10</t>
        </r>
      </text>
    </comment>
    <comment ref="K93" authorId="0" shapeId="0" xr:uid="{D1C5B1F7-5758-4369-9273-AE0C222104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10/12</t>
        </r>
      </text>
    </comment>
    <comment ref="F94" authorId="0" shapeId="0" xr:uid="{FD2E0817-6B8A-49E1-A3C0-38F434D50F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25/01</t>
        </r>
      </text>
    </comment>
    <comment ref="G94" authorId="0" shapeId="0" xr:uid="{A27C456E-CA1C-4674-8B1D-1E1C3EE9BA8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94" authorId="0" shapeId="0" xr:uid="{CCA503D8-F265-4067-A08E-9202E134C2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94" authorId="0" shapeId="0" xr:uid="{EAD6F909-AFF9-4664-8073-83BB2AAAC5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09/05</t>
        </r>
      </text>
    </comment>
    <comment ref="J94" authorId="0" shapeId="0" xr:uid="{A758B954-38D8-4A6B-B81B-B47B21B997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26/05</t>
        </r>
      </text>
    </comment>
    <comment ref="K94" authorId="0" shapeId="0" xr:uid="{5331F212-D667-403C-9888-8D6AA63621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04/07</t>
        </r>
      </text>
    </comment>
    <comment ref="L94" authorId="0" shapeId="0" xr:uid="{C5D8364F-8BCB-473A-A0F4-90D61B135A7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</t>
        </r>
      </text>
    </comment>
    <comment ref="M94" authorId="0" shapeId="0" xr:uid="{21EE0305-EA85-4D6A-BBD3-F3B88C02E8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</t>
        </r>
      </text>
    </comment>
    <comment ref="N94" authorId="0" shapeId="0" xr:uid="{62933BF7-10FA-43B3-BCDC-49E8467956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O94" authorId="0" shapeId="0" xr:uid="{BD81E0C3-CCE9-47EB-AF47-28B41B31F7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27/10</t>
        </r>
      </text>
    </comment>
    <comment ref="P94" authorId="0" shapeId="0" xr:uid="{488BFA95-7B1C-4499-9621-5C5AD681D8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24/11</t>
        </r>
      </text>
    </comment>
    <comment ref="Q94" authorId="0" shapeId="0" xr:uid="{3CF41C9A-8F3A-46EE-A865-561A66DE110D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27/12</t>
        </r>
      </text>
    </comment>
    <comment ref="F95" authorId="0" shapeId="0" xr:uid="{2A28F35D-89EA-4088-B08C-0259061895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08/02 </t>
        </r>
      </text>
    </comment>
    <comment ref="G95" authorId="0" shapeId="0" xr:uid="{D1881C27-1B19-447E-AC57-7041BBF2CD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95" authorId="0" shapeId="0" xr:uid="{DAB13229-E453-4F94-9CF6-F3F0332B1A7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I95" authorId="0" shapeId="0" xr:uid="{DD5D47BF-1F7B-4E99-84CC-38F45EE459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J95" authorId="0" shapeId="0" xr:uid="{0683604A-E9C5-4BA8-A0C9-FC566A1732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10/06</t>
        </r>
      </text>
    </comment>
    <comment ref="K95" authorId="0" shapeId="0" xr:uid="{F9A6C6BF-875E-4103-83CC-9CFBA47205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10/07</t>
        </r>
      </text>
    </comment>
    <comment ref="L95" authorId="0" shapeId="0" xr:uid="{BB25840E-47C5-43A1-A07E-66350C4863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21/07</t>
        </r>
      </text>
    </comment>
    <comment ref="M95" authorId="0" shapeId="0" xr:uid="{DDEEB3E9-4D20-4CC3-A5B4-206AB3698E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02/09</t>
        </r>
      </text>
    </comment>
    <comment ref="N95" authorId="0" shapeId="0" xr:uid="{26A91A26-4D78-451A-B0AA-79C9BA23C9B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24/09</t>
        </r>
      </text>
    </comment>
    <comment ref="O95" authorId="0" shapeId="0" xr:uid="{39B50121-3141-448C-89DE-FA94198DCC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29/10</t>
        </r>
      </text>
    </comment>
    <comment ref="Q95" authorId="0" shapeId="0" xr:uid="{2785B767-84B8-495F-AC00-5B144465E7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96" authorId="0" shapeId="0" xr:uid="{F253C966-0AD4-4C39-B28B-1FD4420B60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96" authorId="0" shapeId="0" xr:uid="{61F4D2DA-3A9D-4ECD-B39D-72482B0C8B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96" authorId="0" shapeId="0" xr:uid="{748A3076-E39E-46E3-BECF-A47B4E4D6CB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96" authorId="0" shapeId="0" xr:uid="{3C5C45FD-AD07-454F-B8CB-77088DE43E5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96" authorId="0" shapeId="0" xr:uid="{D8B1A2E8-AA8A-488C-8E9C-F78E463102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21/05</t>
        </r>
      </text>
    </comment>
    <comment ref="K96" authorId="0" shapeId="0" xr:uid="{A908F6F7-8AD6-4CB5-AA13-66D7E7F7D4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14/07</t>
        </r>
      </text>
    </comment>
    <comment ref="M96" authorId="0" shapeId="0" xr:uid="{2BF2FB12-E08B-41B7-96B5-4F61EAECEF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23/08</t>
        </r>
      </text>
    </comment>
    <comment ref="O96" authorId="0" shapeId="0" xr:uid="{E5853B52-40E5-452D-A629-8F3A52265B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31/10</t>
        </r>
      </text>
    </comment>
    <comment ref="Q96" authorId="0" shapeId="0" xr:uid="{D0DD91B3-0ED4-4E89-8C94-48E8BC3A8C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26/12</t>
        </r>
      </text>
    </comment>
    <comment ref="F97" authorId="0" shapeId="0" xr:uid="{C3B26FF6-7930-43E3-BC96-67E6792910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01/02</t>
        </r>
      </text>
    </comment>
    <comment ref="G97" authorId="0" shapeId="0" xr:uid="{53ADD5E1-50FC-4E46-BA84-C74BE1FF54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97" authorId="0" shapeId="0" xr:uid="{DAE61296-ABEC-436D-BEB0-812AAE1ED8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97" authorId="0" shapeId="0" xr:uid="{5D781B60-5A58-4792-94E1-426674E60D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J97" authorId="0" shapeId="0" xr:uid="{6000A7C4-5E69-489A-9A81-BDAB7200D9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05/06</t>
        </r>
      </text>
    </comment>
    <comment ref="K97" authorId="0" shapeId="0" xr:uid="{1427AAFF-B5F0-4C43-B2F4-5C309978165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02/07</t>
        </r>
      </text>
    </comment>
    <comment ref="L97" authorId="0" shapeId="0" xr:uid="{665552DA-760E-47C9-B0D0-0ED44AECCD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M97" authorId="0" shapeId="0" xr:uid="{B3C79F03-FA67-4E48-8600-349EDC9BC2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</t>
        </r>
      </text>
    </comment>
    <comment ref="N97" authorId="0" shapeId="0" xr:uid="{B46E3CFC-8077-4CC1-A92D-F8343CC41F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02/10</t>
        </r>
      </text>
    </comment>
    <comment ref="O97" authorId="0" shapeId="0" xr:uid="{622A591A-158E-475D-B355-5451ADA324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97" authorId="0" shapeId="0" xr:uid="{F70A6004-4717-4F38-967C-FED62833B4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Q97" authorId="0" shapeId="0" xr:uid="{115513BE-DA43-4394-B6D5-7E4BEC0EA89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04/01</t>
        </r>
      </text>
    </comment>
    <comment ref="F98" authorId="0" shapeId="0" xr:uid="{268A988E-0018-490B-9BE4-F2A63157CC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98" authorId="0" shapeId="0" xr:uid="{EEA87E30-CE9F-4FF1-9B7F-FD99DCDFB7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98" authorId="0" shapeId="0" xr:uid="{7E3BCEA9-A314-4CFB-A113-F788555F50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98" authorId="0" shapeId="0" xr:uid="{C1FA875A-2AAA-48B2-9FF5-4ABF2DA9F5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27/04</t>
        </r>
      </text>
    </comment>
    <comment ref="J98" authorId="0" shapeId="0" xr:uid="{413E1259-AED7-432A-9168-D4014325307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98" authorId="0" shapeId="0" xr:uid="{BC5D8A15-8E16-4DD3-8877-D860F73425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23/06</t>
        </r>
      </text>
    </comment>
    <comment ref="L98" authorId="0" shapeId="0" xr:uid="{33060C68-D718-4DB6-A4AC-8C0846AB96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98" authorId="0" shapeId="0" xr:uid="{812EE667-3AC4-4C72-8A46-C60B1086A3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98" authorId="0" shapeId="0" xr:uid="{8C892C3B-98BF-4778-9249-67F9896BC7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98" authorId="0" shapeId="0" xr:uid="{CEBC02C9-CA17-473C-86A9-95609DC9AA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25/10</t>
        </r>
      </text>
    </comment>
    <comment ref="P98" authorId="0" shapeId="0" xr:uid="{D6717432-4420-446C-BAE0-4CA37163FF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09/12</t>
        </r>
      </text>
    </comment>
    <comment ref="Q98" authorId="0" shapeId="0" xr:uid="{9482C9FB-CC40-4886-9C00-0DE5B9AFBEC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19/12</t>
        </r>
      </text>
    </comment>
    <comment ref="F99" authorId="0" shapeId="0" xr:uid="{88FFA821-AF71-4944-9A72-C9BBD214A9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30/01</t>
        </r>
      </text>
    </comment>
    <comment ref="G99" authorId="0" shapeId="0" xr:uid="{B1A67C41-7BF3-4600-858B-9EEDB04FD3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21/02</t>
        </r>
      </text>
    </comment>
    <comment ref="H99" authorId="0" shapeId="0" xr:uid="{1E150E76-6C6D-4CD1-87EC-F056742B177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30/03</t>
        </r>
      </text>
    </comment>
    <comment ref="I99" authorId="0" shapeId="0" xr:uid="{9ADB0F0A-29A8-4A37-B346-228413F9EB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10/05</t>
        </r>
      </text>
    </comment>
    <comment ref="J99" authorId="0" shapeId="0" xr:uid="{DD3DA997-015A-4201-B3BE-156D201FAA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24/05</t>
        </r>
      </text>
    </comment>
    <comment ref="K99" authorId="0" shapeId="0" xr:uid="{7D7F3263-AD17-44F7-A2AF-95C4839EFC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99" authorId="0" shapeId="0" xr:uid="{80D9B057-EFC9-48D9-A44E-529EC913F4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29/07</t>
        </r>
      </text>
    </comment>
    <comment ref="M99" authorId="0" shapeId="0" xr:uid="{DDA59E79-842E-4469-B141-0D8B1A1B2C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29/08</t>
        </r>
      </text>
    </comment>
    <comment ref="N99" authorId="0" shapeId="0" xr:uid="{0DEE3C02-68B1-491D-B186-D1B19CCDD2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15/10</t>
        </r>
      </text>
    </comment>
    <comment ref="O99" authorId="0" shapeId="0" xr:uid="{08C65F1A-B8F0-479F-A9A3-C9E79876B72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14/11</t>
        </r>
      </text>
    </comment>
    <comment ref="P99" authorId="0" shapeId="0" xr:uid="{97817E5C-DBB9-43D2-87C0-C6E9F2D62D4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02/12</t>
        </r>
      </text>
    </comment>
    <comment ref="Q99" authorId="0" shapeId="0" xr:uid="{7A82D29F-899E-4014-BA1D-8AB59616C96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29/12</t>
        </r>
      </text>
    </comment>
    <comment ref="F100" authorId="0" shapeId="0" xr:uid="{4789E8FD-FBD6-4996-91CE-729DA460BC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25/01</t>
        </r>
      </text>
    </comment>
    <comment ref="G100" authorId="0" shapeId="0" xr:uid="{65038AE1-8F4A-4040-9EC1-D7719323A6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100" authorId="0" shapeId="0" xr:uid="{112772AB-D7BA-4D28-BCB1-F133B60FB9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100" authorId="0" shapeId="0" xr:uid="{FB1E1849-31B1-4DFE-AA12-E5848C95FBE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J100" authorId="0" shapeId="0" xr:uid="{7DA00142-B654-4185-AED8-2A6F8E7C1D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25/05</t>
        </r>
      </text>
    </comment>
    <comment ref="K100" authorId="0" shapeId="0" xr:uid="{997B6A33-E47E-4455-8D23-3B44B1E8CC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L100" authorId="0" shapeId="0" xr:uid="{A2F4C1F7-0986-4384-8582-3E8BE5CD78D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</t>
        </r>
      </text>
    </comment>
    <comment ref="M100" authorId="0" shapeId="0" xr:uid="{97F73B37-43D9-4478-BA5A-8980D69C2F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N100" authorId="0" shapeId="0" xr:uid="{E9FC4026-9C32-4D4A-9D5D-A04E63520B1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27/09</t>
        </r>
      </text>
    </comment>
    <comment ref="O100" authorId="0" shapeId="0" xr:uid="{FB236ABA-E49A-4E18-89DB-BE96F2E0D7B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27/10</t>
        </r>
      </text>
    </comment>
    <comment ref="P100" authorId="0" shapeId="0" xr:uid="{A9D29573-EB59-469A-85E2-ADAA28D50E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26/11</t>
        </r>
      </text>
    </comment>
    <comment ref="Q100" authorId="0" shapeId="0" xr:uid="{51EFE447-25B8-482C-B840-CE37A9B29AE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02/01</t>
        </r>
      </text>
    </comment>
    <comment ref="G101" authorId="0" shapeId="0" xr:uid="{94B6A916-ACDB-45B5-BEF1-36C449C467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15/03</t>
        </r>
      </text>
    </comment>
    <comment ref="N101" authorId="0" shapeId="0" xr:uid="{695287FE-8489-4FE4-98E8-0273B4AF92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26/12</t>
        </r>
      </text>
    </comment>
    <comment ref="F102" authorId="0" shapeId="0" xr:uid="{BEFB7256-D3C5-44DE-B330-F92D16AFFB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02" authorId="0" shapeId="0" xr:uid="{902DB006-7AA2-40E0-ABC5-6D001EF831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102" authorId="0" shapeId="0" xr:uid="{EB88526C-4D05-4FF8-9EE2-DA4055B06E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02" authorId="0" shapeId="0" xr:uid="{E7FB01EA-4777-4203-B24B-E0DC0E9FF4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 </t>
        </r>
      </text>
    </comment>
    <comment ref="J102" authorId="0" shapeId="0" xr:uid="{F4082042-74F3-494C-B82F-AD5E9FE16AD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17/05</t>
        </r>
      </text>
    </comment>
    <comment ref="K102" authorId="0" shapeId="0" xr:uid="{5DF181FD-7B49-4AC4-B959-711B5597B18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102" authorId="0" shapeId="0" xr:uid="{A86D3A5F-BB02-4F8F-A6C3-AD50D072A2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02" authorId="0" shapeId="0" xr:uid="{B2E75FB4-B54C-4D5B-BE26-005D594800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102" authorId="0" shapeId="0" xr:uid="{71E524D7-4F13-49BE-B3FB-5D982A42D7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21/09</t>
        </r>
      </text>
    </comment>
    <comment ref="O102" authorId="0" shapeId="0" xr:uid="{E0979688-FF14-41F4-952F-5C2B38867C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18/10</t>
        </r>
      </text>
    </comment>
    <comment ref="P102" authorId="0" shapeId="0" xr:uid="{4CABCB6A-1A22-49EA-AC66-A5391128A9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102" authorId="0" shapeId="0" xr:uid="{C13BD7FF-CF09-4BC8-B0B8-0C6A8A2B86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H103" authorId="0" shapeId="0" xr:uid="{A208C435-188D-4631-9495-2B9CF603DE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13/04</t>
        </r>
      </text>
    </comment>
    <comment ref="J103" authorId="0" shapeId="0" xr:uid="{740EF993-F56A-4660-85CF-E3A50286C5C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M103" authorId="0" shapeId="0" xr:uid="{8375CA43-4E65-4EFE-88BD-499ACF5284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22/08</t>
        </r>
      </text>
    </comment>
    <comment ref="P103" authorId="0" shapeId="0" xr:uid="{EE93781F-2E67-448D-999C-1D73FD8836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29/11</t>
        </r>
      </text>
    </comment>
    <comment ref="F104" authorId="0" shapeId="0" xr:uid="{C3C62D45-9437-4753-A8B4-8BB46A15E4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16/01</t>
        </r>
      </text>
    </comment>
    <comment ref="G104" authorId="0" shapeId="0" xr:uid="{443D6F59-E9FE-418C-A9D1-F4A914CA569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17/02</t>
        </r>
      </text>
    </comment>
    <comment ref="H104" authorId="0" shapeId="0" xr:uid="{1A900E7C-A04B-4D73-812E-DB6A9898AD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04" authorId="0" shapeId="0" xr:uid="{29D83E0B-33DD-4292-A1A1-1305EAA099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104" authorId="0" shapeId="0" xr:uid="{46E21A78-2AC1-42CB-BFAE-27E30E5A96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17/05</t>
        </r>
      </text>
    </comment>
    <comment ref="K104" authorId="0" shapeId="0" xr:uid="{301BF3DD-CE48-49C0-8365-63DE92323E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104" authorId="0" shapeId="0" xr:uid="{13315316-C166-41BF-B316-2C2781238B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04" authorId="0" shapeId="0" xr:uid="{1844C9E7-D95A-4546-A26F-01295E66B4F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104" authorId="0" shapeId="0" xr:uid="{E9D74763-6A2E-460E-9AE8-5F21CE16B31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104" authorId="0" shapeId="0" xr:uid="{FA13AF34-6959-4EFE-8DD6-9AA94BF072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17/10</t>
        </r>
      </text>
    </comment>
    <comment ref="P104" authorId="0" shapeId="0" xr:uid="{DBE19F12-1D85-411C-873B-E2C8C3CCC8E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104" authorId="0" shapeId="0" xr:uid="{494FA11D-D843-4E3A-B002-56A84834C5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 S/428.00
10/12 S/10.00</t>
        </r>
      </text>
    </comment>
    <comment ref="H105" authorId="0" shapeId="0" xr:uid="{D31CD44F-A9D7-4B01-8FE2-16A862F4F5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J105" authorId="0" shapeId="0" xr:uid="{131478BD-C459-41C4-9A2A-203D3913E7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22/05</t>
        </r>
      </text>
    </comment>
    <comment ref="K105" authorId="0" shapeId="0" xr:uid="{D8CAA64D-42ED-4126-BEEB-E1CF45BE95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19/07</t>
        </r>
      </text>
    </comment>
    <comment ref="L105" authorId="0" shapeId="0" xr:uid="{29009645-FF7B-420A-807C-EA1565D207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M105" authorId="0" shapeId="0" xr:uid="{6DB3592B-9BE2-40D2-945B-D5E9B36D57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N105" authorId="0" shapeId="0" xr:uid="{74269989-E709-41DB-8294-12F5856BF98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O105" authorId="0" shapeId="0" xr:uid="{52BDEDE0-9EB5-4841-9717-80780EA754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17/12</t>
        </r>
      </text>
    </comment>
    <comment ref="F106" authorId="0" shapeId="0" xr:uid="{A9160A24-612F-452C-BCDB-9B0DB8ECC50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04/02</t>
        </r>
      </text>
    </comment>
    <comment ref="G106" authorId="0" shapeId="0" xr:uid="{CC7EAE2B-3A70-47A5-A3A5-7476B3B923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06" authorId="0" shapeId="0" xr:uid="{638B4F17-B381-40EF-BBF4-A85DAF1526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I106" authorId="0" shapeId="0" xr:uid="{78E38337-F4B5-4C6C-BB6C-A8797D646E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J106" authorId="0" shapeId="0" xr:uid="{A2E11183-7088-4425-A752-262D3AE0861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K106" authorId="0" shapeId="0" xr:uid="{B833F22F-4967-4D19-AFCC-183555C120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106" authorId="0" shapeId="0" xr:uid="{B6A63FC7-F4CD-4590-A3D6-66FE2882DE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03/08</t>
        </r>
      </text>
    </comment>
    <comment ref="M106" authorId="0" shapeId="0" xr:uid="{144DA360-55B8-4097-B4AA-C44F57B23A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29/08</t>
        </r>
      </text>
    </comment>
    <comment ref="N106" authorId="0" shapeId="0" xr:uid="{09B98614-C2A0-4B23-B75F-0565DF6AE4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O106" authorId="0" shapeId="0" xr:uid="{B9703103-BB25-4E6D-B2A2-3E3FBFA87A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106" authorId="0" shapeId="0" xr:uid="{272971CC-F51B-44B2-BD93-19E8FAA953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Q106" authorId="0" shapeId="0" xr:uid="{BE51B2DD-C462-41F2-AB4C-7EFF76C76A53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04/01 </t>
        </r>
      </text>
    </comment>
    <comment ref="G107" authorId="0" shapeId="0" xr:uid="{E2F10EF4-6EFC-4AFE-90E6-511E622695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I107" authorId="0" shapeId="0" xr:uid="{E5DCB4B7-EE6A-4135-B45C-D2609087B3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K107" authorId="0" shapeId="0" xr:uid="{950830DE-7DEB-4B76-BB34-252CE5520F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M107" authorId="0" shapeId="0" xr:uid="{AD5F05EA-1EDE-42A7-9D82-69246C5222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15/08</t>
        </r>
      </text>
    </comment>
    <comment ref="O107" authorId="0" shapeId="0" xr:uid="{41250DEB-A2A4-44EB-9E3F-4272671B0A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23/10</t>
        </r>
      </text>
    </comment>
    <comment ref="Q107" authorId="0" shapeId="0" xr:uid="{4E9F8497-AD1F-4FFE-A843-14BCF816CD7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G108" authorId="0" shapeId="0" xr:uid="{CAA3B9A6-298B-4765-B512-1A953618A0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08" authorId="0" shapeId="0" xr:uid="{2A6FBFAA-371E-4ABE-956A-E2D827F108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108" authorId="0" shapeId="0" xr:uid="{14E3A2ED-E695-4A03-839C-EBD55888431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108" authorId="0" shapeId="0" xr:uid="{F8C423BC-B035-4587-88CA-6F3C7F71DC6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108" authorId="0" shapeId="0" xr:uid="{197009A6-390A-4560-A405-2C95668F977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L108" authorId="0" shapeId="0" xr:uid="{83C8F19D-1D7F-4258-832B-305206D1D9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25/07</t>
        </r>
      </text>
    </comment>
    <comment ref="M108" authorId="0" shapeId="0" xr:uid="{5969C9C2-ECAD-4DB5-BB66-1BFB32A799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20/08</t>
        </r>
      </text>
    </comment>
    <comment ref="N108" authorId="0" shapeId="0" xr:uid="{BA17F4CC-3109-4997-AAB6-A57BC8B4882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24/09</t>
        </r>
      </text>
    </comment>
    <comment ref="O108" authorId="0" shapeId="0" xr:uid="{648F59DD-0F7A-45D2-8740-B1B0B8859C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22/10</t>
        </r>
      </text>
    </comment>
    <comment ref="P108" authorId="0" shapeId="0" xr:uid="{462FD703-E882-49E8-8519-FE6CC25E976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108" authorId="0" shapeId="0" xr:uid="{72B0F3EA-D8DB-4FFA-BC0E-E43CA1361DC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20/12</t>
        </r>
      </text>
    </comment>
    <comment ref="F109" authorId="0" shapeId="0" xr:uid="{8E204492-E60D-47D5-8AAD-4C1465615B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109" authorId="0" shapeId="0" xr:uid="{8C348F38-5B27-4D2F-887A-A415F3756A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09" authorId="0" shapeId="0" xr:uid="{7CE85754-1BB0-44F1-B65E-19AA01C1E7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I109" authorId="0" shapeId="0" xr:uid="{F2FC473C-BF91-424D-9B18-AB29AB4485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03/05</t>
        </r>
      </text>
    </comment>
    <comment ref="J109" authorId="0" shapeId="0" xr:uid="{09003EA6-FB62-4E5D-ABCB-E190F4CEF8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04/06</t>
        </r>
      </text>
    </comment>
    <comment ref="K109" authorId="0" shapeId="0" xr:uid="{33C093FF-97AD-47C0-8297-ECAB325B36E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0/07</t>
        </r>
      </text>
    </comment>
    <comment ref="L109" authorId="0" shapeId="0" xr:uid="{629047C9-30A0-43DC-B57E-465115446C4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04/07</t>
        </r>
      </text>
    </comment>
    <comment ref="M109" authorId="0" shapeId="0" xr:uid="{D36C7269-171C-4490-9C91-D57FA953D2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04/09</t>
        </r>
      </text>
    </comment>
    <comment ref="N109" authorId="0" shapeId="0" xr:uid="{17781BD2-81C3-4053-9EE6-9021EFC561A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04/10</t>
        </r>
      </text>
    </comment>
    <comment ref="O109" authorId="0" shapeId="0" xr:uid="{9B9CE48C-210E-48F8-A1B5-B7B9E4291BB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04/11</t>
        </r>
      </text>
    </comment>
    <comment ref="P109" authorId="0" shapeId="0" xr:uid="{20249718-52C6-4341-B365-F1A7A76C0F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Q109" authorId="0" shapeId="0" xr:uid="{7D0AA239-F996-4861-84A7-ABB95C8A407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30/12</t>
        </r>
      </text>
    </comment>
    <comment ref="F110" authorId="0" shapeId="0" xr:uid="{E8CE9D3B-6730-493A-8018-997C344FAC3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J110" authorId="0" shapeId="0" xr:uid="{CA9083E5-C572-4F0C-B861-9500934C49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26/05</t>
        </r>
      </text>
    </comment>
    <comment ref="L110" authorId="0" shapeId="0" xr:uid="{597C0205-FB86-4542-A075-62D1386C08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25/07</t>
        </r>
      </text>
    </comment>
    <comment ref="M110" authorId="0" shapeId="0" xr:uid="{8A77CC33-7449-4653-AF62-CD57D86B0E5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27/08</t>
        </r>
      </text>
    </comment>
    <comment ref="N110" authorId="0" shapeId="0" xr:uid="{BCB939F7-D606-4652-9D3B-66761581FF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O110" authorId="0" shapeId="0" xr:uid="{9C94E473-6995-4268-AA98-F66D86E5DA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28/10</t>
        </r>
      </text>
    </comment>
    <comment ref="P110" authorId="0" shapeId="0" xr:uid="{22A1C477-5A65-491A-90CE-478AB41AA1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06/12</t>
        </r>
      </text>
    </comment>
    <comment ref="F111" authorId="0" shapeId="0" xr:uid="{6E41CB7D-65F0-4067-87B9-FF0DCEC6B1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111" authorId="0" shapeId="0" xr:uid="{8E395450-0177-4E7B-B031-6B57A4CD1E5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111" authorId="0" shapeId="0" xr:uid="{C271A219-3482-4819-971B-A0489796B8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111" authorId="0" shapeId="0" xr:uid="{26E38676-EFBC-42C7-9AE5-E15680EFA1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111" authorId="0" shapeId="0" xr:uid="{F3BF2D2C-BF7B-4022-A0F0-62D56AB9DAD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21/05</t>
        </r>
      </text>
    </comment>
    <comment ref="K111" authorId="0" shapeId="0" xr:uid="{71E8FA20-A5B1-41AB-A3C7-6E4D60B8E2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111" authorId="0" shapeId="0" xr:uid="{CA319F9C-9F5E-4328-82F7-4FFD0436FC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11" authorId="0" shapeId="0" xr:uid="{AE9FA64E-03FC-4CB7-AF7B-B7801FACF2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111" authorId="0" shapeId="0" xr:uid="{B8D73FFA-CE14-4C5B-9EA7-58FF788767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111" authorId="0" shapeId="0" xr:uid="{AC7D7815-BE79-43CB-BAD0-33E9C4A713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22/10</t>
        </r>
      </text>
    </comment>
    <comment ref="P111" authorId="0" shapeId="0" xr:uid="{AC6426F9-B8B7-4E03-875F-8F3E4F9496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111" authorId="0" shapeId="0" xr:uid="{EB069879-9C14-4F81-90E7-86BFE20A70E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G112" authorId="0" shapeId="0" xr:uid="{FE28602E-144F-4C89-B579-4BFA24A718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04/03</t>
        </r>
      </text>
    </comment>
    <comment ref="H112" authorId="0" shapeId="0" xr:uid="{DD9A0B14-412A-46B4-BC0B-047375163C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14/04</t>
        </r>
      </text>
    </comment>
    <comment ref="I112" authorId="0" shapeId="0" xr:uid="{FB562A7F-A932-4F82-AEDD-295477D2AA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J112" authorId="0" shapeId="0" xr:uid="{E230F44F-7C98-470C-A0F5-49B9EBBB6B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K112" authorId="0" shapeId="0" xr:uid="{3ED19429-AEDB-4257-A9D3-E2404A8365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07/07</t>
        </r>
      </text>
    </comment>
    <comment ref="L112" authorId="0" shapeId="0" xr:uid="{24CC109F-6441-46C0-A133-0381933FCF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03/09</t>
        </r>
      </text>
    </comment>
    <comment ref="M112" authorId="0" shapeId="0" xr:uid="{4D5F153B-354A-4E58-832E-E95F9FEE9D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13/10</t>
        </r>
      </text>
    </comment>
    <comment ref="N112" authorId="0" shapeId="0" xr:uid="{5B214246-9CDF-49A0-8B4D-F584A77487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28/11</t>
        </r>
      </text>
    </comment>
    <comment ref="F113" authorId="0" shapeId="0" xr:uid="{9C25CAB8-5A6E-4CFC-BF84-E030A23E9A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22/01</t>
        </r>
      </text>
    </comment>
    <comment ref="G113" authorId="0" shapeId="0" xr:uid="{5C4ADEBE-C4B3-42B4-90A0-8A64644131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113" authorId="0" shapeId="0" xr:uid="{2D7F38E9-6FD4-49B1-8DFE-12EEFD64E2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113" authorId="0" shapeId="0" xr:uid="{6BC587B0-FBBB-46D2-8BCD-4ED89A689D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113" authorId="0" shapeId="0" xr:uid="{1B987079-D85A-47B9-ADD8-8E9B370457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113" authorId="0" shapeId="0" xr:uid="{8C64F9E0-12E1-4C6B-8DCF-426B6AFF42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23/06</t>
        </r>
      </text>
    </comment>
    <comment ref="L113" authorId="0" shapeId="0" xr:uid="{657CDC91-BA9F-4A76-98A6-CB330700DA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21/07</t>
        </r>
      </text>
    </comment>
    <comment ref="M113" authorId="0" shapeId="0" xr:uid="{708ACE72-ADC4-4BC2-9904-FB0EECD72F2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23/08</t>
        </r>
      </text>
    </comment>
    <comment ref="N113" authorId="0" shapeId="0" xr:uid="{A787ABE7-DDBE-48BC-B555-7146B5F799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O113" authorId="0" shapeId="0" xr:uid="{4286BDE1-9C64-4ECC-9B3C-A6E759E84B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18/10</t>
        </r>
      </text>
    </comment>
    <comment ref="P113" authorId="0" shapeId="0" xr:uid="{021A3493-604E-4E7A-9B04-09AD64EEB0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113" authorId="0" shapeId="0" xr:uid="{7D49894C-378D-4A0D-B2C1-555D1A29DC6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17/12</t>
        </r>
      </text>
    </comment>
    <comment ref="G114" authorId="0" shapeId="0" xr:uid="{C79FC18E-D088-442C-9B20-36A82B58C33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17/02 S/721.78 - S/27.14 Dic24 = S/694.64
</t>
        </r>
      </text>
    </comment>
    <comment ref="H114" authorId="0" shapeId="0" xr:uid="{16A0A012-0E60-4881-AC52-2540F1AD0C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I114" authorId="0" shapeId="0" xr:uid="{0D14354B-5335-4150-BEEA-51EBC6BC67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114" authorId="0" shapeId="0" xr:uid="{5B755142-56AC-4F12-88F3-5128E62A7C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L114" authorId="0" shapeId="0" xr:uid="{86B536D1-35D1-4F87-9D76-6F8FD57ED96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15/07</t>
        </r>
      </text>
    </comment>
    <comment ref="M114" authorId="0" shapeId="0" xr:uid="{E18787E2-3E01-4D4C-B43E-E6B0C153FF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13/09</t>
        </r>
      </text>
    </comment>
    <comment ref="N114" authorId="0" shapeId="0" xr:uid="{B0D602CD-4622-4A33-977F-651CDA37D98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114" authorId="0" shapeId="0" xr:uid="{5FB4061E-8DF4-4557-B775-F201875C66B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14/11</t>
        </r>
      </text>
    </comment>
    <comment ref="P114" authorId="0" shapeId="0" xr:uid="{0C89A505-0C25-4B8A-BF73-5A7503C655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114" authorId="0" shapeId="0" xr:uid="{FEAAB870-D700-456A-98FD-8D4F781089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19/12</t>
        </r>
      </text>
    </comment>
    <comment ref="F115" authorId="0" shapeId="0" xr:uid="{B865BEF7-887A-4ED7-BFA4-CDC6E862BD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 S/237.47  - S/6.00 deuda Dic24
</t>
        </r>
      </text>
    </comment>
    <comment ref="G115" authorId="0" shapeId="0" xr:uid="{BB7BE95D-D798-4DDB-BFE1-4BFC02F48AC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22/02</t>
        </r>
      </text>
    </comment>
    <comment ref="H115" authorId="0" shapeId="0" xr:uid="{E525ECCC-1D16-4CB0-8427-53738F01CB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115" authorId="0" shapeId="0" xr:uid="{804F958F-7AA3-44F2-94E7-6FDE0EFFDF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115" authorId="0" shapeId="0" xr:uid="{0184C7C0-B6E0-4F3C-8C1C-6D90669AF1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K115" authorId="0" shapeId="0" xr:uid="{C8153CE4-D742-4E8E-AAFC-79E6A73037C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115" authorId="0" shapeId="0" xr:uid="{AC5C94D5-8FEB-4716-9EDB-78953D7A99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31/07</t>
        </r>
      </text>
    </comment>
    <comment ref="M115" authorId="0" shapeId="0" xr:uid="{68510F04-9290-4374-971B-507763D5CF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N115" authorId="0" shapeId="0" xr:uid="{3ABB4B59-D3D9-4E33-9E58-4D7A9A6827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26/09</t>
        </r>
      </text>
    </comment>
    <comment ref="O115" authorId="0" shapeId="0" xr:uid="{A9FF76AF-2CE5-4D6A-A37E-186DCD2458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30/10</t>
        </r>
      </text>
    </comment>
    <comment ref="P115" authorId="0" shapeId="0" xr:uid="{2785AD3F-7144-49AD-81D1-F848C72168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30/11</t>
        </r>
      </text>
    </comment>
    <comment ref="F116" authorId="0" shapeId="0" xr:uid="{F0B91E3C-0B2C-4EEC-AFE2-12C4AAF10D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116" authorId="0" shapeId="0" xr:uid="{9391CD22-3C78-49E2-AB79-4D66F8FCE3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116" authorId="0" shapeId="0" xr:uid="{A372B8F2-59EB-4F37-89DB-0ABA1FC5F7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116" authorId="0" shapeId="0" xr:uid="{40604733-AC98-4A91-9090-40EBF9A400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116" authorId="0" shapeId="0" xr:uid="{0EFC3E18-EA70-42B6-97CD-DA9F3F97875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K116" authorId="0" shapeId="0" xr:uid="{414A1C13-995E-41FB-B21A-01C4ECB18B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6" authorId="0" shapeId="0" xr:uid="{8F152C93-8A2B-4BBD-AA0B-15536FFE5F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27/07</t>
        </r>
      </text>
    </comment>
    <comment ref="M116" authorId="0" shapeId="0" xr:uid="{2B918F30-3C33-41C6-9C06-0E056C07FA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27/08</t>
        </r>
      </text>
    </comment>
    <comment ref="N116" authorId="0" shapeId="0" xr:uid="{3CEFAC7C-31FF-4765-9239-03C633B912D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27/09</t>
        </r>
      </text>
    </comment>
    <comment ref="O116" authorId="0" shapeId="0" xr:uid="{3CC48C48-A416-42D9-87B3-173AF38E98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29/10</t>
        </r>
      </text>
    </comment>
    <comment ref="P116" authorId="0" shapeId="0" xr:uid="{D0700B30-CBF8-4E1B-991F-68321BE4C7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07/12</t>
        </r>
      </text>
    </comment>
    <comment ref="Q116" authorId="0" shapeId="0" xr:uid="{46284F82-4FF2-4562-931B-C99A079E2E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26/12</t>
        </r>
      </text>
    </comment>
    <comment ref="G117" authorId="0" shapeId="0" xr:uid="{254EFABC-0BE1-47D7-841A-2DD50E206D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23/02</t>
        </r>
      </text>
    </comment>
    <comment ref="I117" authorId="0" shapeId="0" xr:uid="{AB5627AC-34A1-4C31-8159-3BBAB309640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10/05</t>
        </r>
      </text>
    </comment>
    <comment ref="K117" authorId="0" shapeId="0" xr:uid="{585F560B-7DA2-443C-91F9-F06CA80BB2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24/07</t>
        </r>
      </text>
    </comment>
    <comment ref="N117" authorId="0" shapeId="0" xr:uid="{5DC51BA9-EE31-4BA6-8B63-BFB81F36FF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02/10</t>
        </r>
      </text>
    </comment>
    <comment ref="J118" authorId="0" shapeId="0" xr:uid="{F478A2AD-98E3-401E-9F01-C560D8AF56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16/09</t>
        </r>
      </text>
    </comment>
    <comment ref="O118" authorId="0" shapeId="0" xr:uid="{B08C2B80-8ACB-43B1-A459-7642C29AB2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04/12</t>
        </r>
      </text>
    </comment>
    <comment ref="F119" authorId="0" shapeId="0" xr:uid="{EF9B5A97-5573-4BAD-A5FB-CC7221B3BB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31/01</t>
        </r>
      </text>
    </comment>
    <comment ref="G119" authorId="0" shapeId="0" xr:uid="{01D74C0F-A180-475E-9D4E-2A6B22631E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23/02</t>
        </r>
      </text>
    </comment>
    <comment ref="H119" authorId="0" shapeId="0" xr:uid="{393790B1-4E09-453E-9940-9169F97473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23/03</t>
        </r>
      </text>
    </comment>
    <comment ref="I119" authorId="0" shapeId="0" xr:uid="{2D169576-9382-42E2-ACAA-15D2FBD90F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K119" authorId="0" shapeId="0" xr:uid="{DDD80453-B2FF-46E7-ACE8-DD9B374AB3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23/06</t>
        </r>
      </text>
    </comment>
    <comment ref="L119" authorId="0" shapeId="0" xr:uid="{0DEF29AC-5F57-4F0D-BCD8-0C9CE66925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20/07</t>
        </r>
      </text>
    </comment>
    <comment ref="M119" authorId="0" shapeId="0" xr:uid="{ABA5D685-0B28-4B3B-A7FD-E2548B5AD4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22/08</t>
        </r>
      </text>
    </comment>
    <comment ref="N119" authorId="0" shapeId="0" xr:uid="{6FE3CEFD-A0EE-4E89-8EA9-B57A6A4AB8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29/09</t>
        </r>
      </text>
    </comment>
    <comment ref="O119" authorId="0" shapeId="0" xr:uid="{4ED917FD-3FA9-421A-8136-A1D29948B5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25/10</t>
        </r>
      </text>
    </comment>
    <comment ref="P119" authorId="0" shapeId="0" xr:uid="{BBCBA456-8347-4105-A0E7-41AC65EB76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23/11</t>
        </r>
      </text>
    </comment>
    <comment ref="Q119" authorId="0" shapeId="0" xr:uid="{6898C43A-B376-402A-8A3B-29CE2F7E82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21/12</t>
        </r>
      </text>
    </comment>
    <comment ref="F120" authorId="0" shapeId="0" xr:uid="{8A97D93C-2BAC-49C7-97A5-4070AFBEDFC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 </t>
        </r>
      </text>
    </comment>
    <comment ref="G120" authorId="0" shapeId="0" xr:uid="{D4FC1782-652D-4AE4-B833-EFD00C3E3A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20" authorId="0" shapeId="0" xr:uid="{ACA7577D-D21A-4F88-A4A4-E51EF69826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24/03</t>
        </r>
      </text>
    </comment>
    <comment ref="I120" authorId="0" shapeId="0" xr:uid="{DCD625D5-4AA6-4A5E-8C59-E5AD2DD3F50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29/04</t>
        </r>
      </text>
    </comment>
    <comment ref="J120" authorId="0" shapeId="0" xr:uid="{A87539CC-A5E8-4D39-A49F-9AC34A905A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120" authorId="0" shapeId="0" xr:uid="{BA01F9A0-E1C1-4B11-9FEF-7C9DD1B601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120" authorId="0" shapeId="0" xr:uid="{9FCDA09D-94D9-46B0-99C9-A50F26F70F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25/07</t>
        </r>
      </text>
    </comment>
    <comment ref="M120" authorId="0" shapeId="0" xr:uid="{7616D274-2278-43B9-B070-A895130992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22/08</t>
        </r>
      </text>
    </comment>
    <comment ref="N120" authorId="0" shapeId="0" xr:uid="{735C21FA-94BD-4773-A14D-32B2B03305B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120" authorId="0" shapeId="0" xr:uid="{5631F6D1-1720-4416-9B2E-ED67CC9806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17/10</t>
        </r>
      </text>
    </comment>
    <comment ref="P120" authorId="0" shapeId="0" xr:uid="{269E9CB8-ACD4-4048-A3E8-439D377070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120" authorId="0" shapeId="0" xr:uid="{FAAC45F4-8012-4DF1-A6D4-5B7FAC55BD9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21/12</t>
        </r>
      </text>
    </comment>
    <comment ref="F121" authorId="0" shapeId="0" xr:uid="{AC101BC9-DA12-4B75-BC6C-1064793DC5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121" authorId="0" shapeId="0" xr:uid="{70BA7253-D387-4F2C-B3CA-7E0FD947755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21" authorId="0" shapeId="0" xr:uid="{EDD906F8-7FAD-4769-9B37-623F9F96FB4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I121" authorId="0" shapeId="0" xr:uid="{6358B050-601A-467B-B679-1AA6F8ED80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12/05</t>
        </r>
      </text>
    </comment>
    <comment ref="J121" authorId="0" shapeId="0" xr:uid="{E654BADB-7A39-4091-8C18-B284FD000D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K121" authorId="0" shapeId="0" xr:uid="{DEC72EDF-5F0D-4B2A-9B9F-CBEE9C8405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13/07</t>
        </r>
      </text>
    </comment>
    <comment ref="L121" authorId="0" shapeId="0" xr:uid="{F3CCB59C-667A-4BC0-8C9C-F5C566CD178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11/08</t>
        </r>
      </text>
    </comment>
    <comment ref="M121" authorId="0" shapeId="0" xr:uid="{FF096F7B-63CB-4952-937F-4081C15408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08/09</t>
        </r>
      </text>
    </comment>
    <comment ref="N121" authorId="0" shapeId="0" xr:uid="{7417D811-C04C-4EA7-913B-ED27EB42F9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 </t>
        </r>
      </text>
    </comment>
    <comment ref="O121" authorId="0" shapeId="0" xr:uid="{DC30B8FA-2E27-47F5-A7D0-C014D6B323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11/11</t>
        </r>
      </text>
    </comment>
    <comment ref="P121" authorId="0" shapeId="0" xr:uid="{DC38CD90-809E-42DE-95AF-B0ED25A421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03/12</t>
        </r>
      </text>
    </comment>
    <comment ref="G122" authorId="0" shapeId="0" xr:uid="{2FD2A710-DB3B-4369-A1AD-9D985F767D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122" authorId="0" shapeId="0" xr:uid="{C841056A-6A49-417F-B8CF-33AF71552B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03/05</t>
        </r>
      </text>
    </comment>
    <comment ref="J122" authorId="0" shapeId="0" xr:uid="{9FB99C36-653A-4D60-9E3B-3E2A22B490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31/05</t>
        </r>
      </text>
    </comment>
    <comment ref="K122" authorId="0" shapeId="0" xr:uid="{18B67BB1-C2AC-40B1-9D1B-F2A1466905D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24/07</t>
        </r>
      </text>
    </comment>
    <comment ref="L122" authorId="0" shapeId="0" xr:uid="{CCABB7F8-BC1E-4059-831E-741B20901C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28/08</t>
        </r>
      </text>
    </comment>
    <comment ref="M122" authorId="0" shapeId="0" xr:uid="{2E7C47D0-B146-4091-87CE-FD90C4DCBF1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N122" authorId="0" shapeId="0" xr:uid="{624E84FF-BF0B-4E24-8D6D-1EB4F36180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09/10</t>
        </r>
      </text>
    </comment>
    <comment ref="O122" authorId="0" shapeId="0" xr:uid="{61E2AA3F-A68A-403C-8817-C21EBC3416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02/11</t>
        </r>
      </text>
    </comment>
    <comment ref="P122" authorId="0" shapeId="0" xr:uid="{B1581D43-412F-4EA1-9465-33FD617964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04/12</t>
        </r>
      </text>
    </comment>
    <comment ref="F123" authorId="0" shapeId="0" xr:uid="{F9086CB3-AA69-4CA5-8650-D3C0ED0FF2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23" authorId="0" shapeId="0" xr:uid="{8E91A023-A26C-4A59-9A57-064917BBB9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23" authorId="0" shapeId="0" xr:uid="{C03A72E4-0B99-43EA-8D92-F5D89B2113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 </t>
        </r>
      </text>
    </comment>
    <comment ref="I123" authorId="0" shapeId="0" xr:uid="{1BEDEB58-7A43-4AA3-8998-4693D5B047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123" authorId="0" shapeId="0" xr:uid="{1ED732A7-4B0E-4331-94F7-CA16055891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123" authorId="0" shapeId="0" xr:uid="{0C97396F-AE53-42BB-95CD-15D77B70D78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123" authorId="0" shapeId="0" xr:uid="{DF3589AA-7E0B-4C07-A08F-B35723483B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23" authorId="0" shapeId="0" xr:uid="{F2B541DF-90C4-4D4F-822D-878FAEADBC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123" authorId="0" shapeId="0" xr:uid="{ED33A31E-1FDF-470F-986A-8BE09495EA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123" authorId="0" shapeId="0" xr:uid="{5FFB6A70-E445-4F67-8A7C-1401C8F11E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17/10</t>
        </r>
      </text>
    </comment>
    <comment ref="P123" authorId="0" shapeId="0" xr:uid="{446C5692-DF52-4746-BFD1-EF8412645EF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123" authorId="0" shapeId="0" xr:uid="{0891F9E0-0ED8-4390-89C4-63DDF05D9D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124" authorId="0" shapeId="0" xr:uid="{7C58FC19-CC5C-4B53-A376-4C7384C3D7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G124" authorId="0" shapeId="0" xr:uid="{BBF15E59-2FA4-4F74-8210-782920B9C4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H124" authorId="0" shapeId="0" xr:uid="{DA6B0EB4-BD6E-4FDD-A95D-7E4B19D6BFA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15/04</t>
        </r>
      </text>
    </comment>
    <comment ref="I124" authorId="0" shapeId="0" xr:uid="{2C41F722-A997-4473-B530-1181F56128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09/06</t>
        </r>
      </text>
    </comment>
    <comment ref="J124" authorId="0" shapeId="0" xr:uid="{93B4D4E6-0BE6-458A-9FE2-5A4D3A5DB6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K124" authorId="0" shapeId="0" xr:uid="{C401DF9B-A9EF-40ED-8C62-2B9E23D374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10/08</t>
        </r>
      </text>
    </comment>
    <comment ref="L124" authorId="0" shapeId="0" xr:uid="{ADAF01F7-52D6-43C1-BB76-5320D69089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02/09</t>
        </r>
      </text>
    </comment>
    <comment ref="M124" authorId="0" shapeId="0" xr:uid="{6D2C602B-BFF1-4219-9D78-5BD0D6AE80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09/10</t>
        </r>
      </text>
    </comment>
    <comment ref="N124" authorId="0" shapeId="0" xr:uid="{9FA9D6CD-B414-479C-8E3F-71CC95EFDDA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23/10</t>
        </r>
      </text>
    </comment>
    <comment ref="O124" authorId="0" shapeId="0" xr:uid="{8639C5C6-D47E-423E-B7D3-CB0569F901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P124" authorId="0" shapeId="0" xr:uid="{015494F9-4EF0-4C35-B6CA-71FF793E53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I125" authorId="0" shapeId="0" xr:uid="{91918B69-5657-47B2-B0C8-43B85F143F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05/05</t>
        </r>
      </text>
    </comment>
    <comment ref="M125" authorId="0" shapeId="0" xr:uid="{74978813-B05E-427B-A90E-829C0504974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02/09</t>
        </r>
      </text>
    </comment>
    <comment ref="N125" authorId="0" shapeId="0" xr:uid="{8B9964C6-27A7-4C32-8F1A-4DF75E2EB8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P125" authorId="0" shapeId="0" xr:uid="{17BB0FD4-B441-4368-BC1E-E84E4B4C00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 S/850.00
01/12 S/21.77</t>
        </r>
      </text>
    </comment>
    <comment ref="F126" authorId="0" shapeId="0" xr:uid="{E7C5B67B-0B03-4DF5-8358-E5A1C37D98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126" authorId="0" shapeId="0" xr:uid="{250AD8B1-C1E3-4AED-8317-C808AE227AE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21/02</t>
        </r>
      </text>
    </comment>
    <comment ref="H126" authorId="0" shapeId="0" xr:uid="{0F57DDBB-5D7C-41FC-A3F0-9FDA688A34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126" authorId="0" shapeId="0" xr:uid="{07779372-7602-4013-9CA7-9DDBC46B21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126" authorId="0" shapeId="0" xr:uid="{1F608FCE-3A01-4E94-B488-D0806424F07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126" authorId="0" shapeId="0" xr:uid="{1A23F616-8EFC-470F-9E0A-B2E0DC23A2A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16/06 S/300.00
20/06 S/62.00</t>
        </r>
      </text>
    </comment>
    <comment ref="L126" authorId="0" shapeId="0" xr:uid="{61C1FAAB-F324-4D8E-AC75-439E8DE0E47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05/08 S/57.60
05/08 S/310.00</t>
        </r>
      </text>
    </comment>
    <comment ref="M126" authorId="0" shapeId="0" xr:uid="{B396848F-EEBC-48F1-8155-288E50E35C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02/09</t>
        </r>
      </text>
    </comment>
    <comment ref="N126" authorId="0" shapeId="0" xr:uid="{5E87B077-9445-4FDD-AA0D-923933593DB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16/10</t>
        </r>
      </text>
    </comment>
    <comment ref="O126" authorId="0" shapeId="0" xr:uid="{0F06AEAF-1D59-48F3-A51F-A8315BF8EE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14/11 </t>
        </r>
      </text>
    </comment>
    <comment ref="P126" authorId="0" shapeId="0" xr:uid="{3E227574-97D9-476D-98B4-B5679CC7A23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14/12</t>
        </r>
      </text>
    </comment>
    <comment ref="F127" authorId="0" shapeId="0" xr:uid="{027BF8A9-B3F9-46E3-B784-2F06221846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24/01</t>
        </r>
      </text>
    </comment>
    <comment ref="G127" authorId="0" shapeId="0" xr:uid="{46C15BA8-A87A-43FD-832D-3C8FC6E375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127" authorId="0" shapeId="0" xr:uid="{614F2E0A-BAFD-4035-96F4-CE2495F704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127" authorId="0" shapeId="0" xr:uid="{28A0DF85-889A-4D6D-8D26-E04A1C12C0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127" authorId="0" shapeId="0" xr:uid="{17645311-EE61-446E-A7B7-B271101D75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27/05</t>
        </r>
      </text>
    </comment>
    <comment ref="K127" authorId="0" shapeId="0" xr:uid="{A916FD6E-E693-4877-A7FF-0B6AA6B32BB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L127" authorId="0" shapeId="0" xr:uid="{38549502-099F-4C8F-A904-64C96424D03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24/07</t>
        </r>
      </text>
    </comment>
    <comment ref="M127" authorId="0" shapeId="0" xr:uid="{E8EB9C4B-40A1-4CDF-833B-FC623CFA13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N127" authorId="0" shapeId="0" xr:uid="{D89D5638-385D-4C4F-996A-98E5D7BE50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127" authorId="0" shapeId="0" xr:uid="{AE5EFF32-AB92-4D44-A96B-B69B774FC2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29/10</t>
        </r>
      </text>
    </comment>
    <comment ref="P127" authorId="0" shapeId="0" xr:uid="{4321857B-FACA-4660-84EB-56F28BCCB0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04/12</t>
        </r>
      </text>
    </comment>
    <comment ref="Q127" authorId="0" shapeId="0" xr:uid="{97ED425A-BBF2-4CAF-9FDA-27D0B11D1E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128" authorId="0" shapeId="0" xr:uid="{DA1D6F4F-6F0F-4EB8-A623-CFCFBCA2D5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14/02 S/329.00 - 0.06 Dic24
</t>
        </r>
      </text>
    </comment>
    <comment ref="G128" authorId="0" shapeId="0" xr:uid="{A0FADF5B-B01A-4CE2-A6BF-2BB5C8CFB3D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28" authorId="0" shapeId="0" xr:uid="{86A19821-8E38-46E1-8877-003FD65024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128" authorId="0" shapeId="0" xr:uid="{96F471B3-8938-4F40-BD82-F6F48CDBDF7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128" authorId="0" shapeId="0" xr:uid="{ABD143A3-B38C-4757-9297-7E0EE6C512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K128" authorId="0" shapeId="0" xr:uid="{1AAEFBF7-35E2-4423-A417-67FBA00011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L128" authorId="0" shapeId="0" xr:uid="{78458828-FC32-4289-9C99-232E7229131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M128" authorId="0" shapeId="0" xr:uid="{07376AD5-F421-4877-B1D7-6CDAA6FF09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</t>
        </r>
      </text>
    </comment>
    <comment ref="N128" authorId="0" shapeId="0" xr:uid="{74C87C5B-5BEF-489A-83C8-EDBA8FD822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O128" authorId="0" shapeId="0" xr:uid="{4F8FC534-E36A-46FA-BF71-B5031F12E6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128" authorId="0" shapeId="0" xr:uid="{08C35A2F-72A7-4F0E-BF73-AFFDB464A9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29/11</t>
        </r>
      </text>
    </comment>
    <comment ref="Q128" authorId="0" shapeId="0" xr:uid="{AFB50686-71B8-4AC7-9C36-7CAF37241D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26/12 S/285.35
26/12 S/100.00</t>
        </r>
      </text>
    </comment>
    <comment ref="H129" authorId="0" shapeId="0" xr:uid="{1B55E6AA-D4D2-4CA8-BB1D-24208921E19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22/05</t>
        </r>
      </text>
    </comment>
    <comment ref="L129" authorId="0" shapeId="0" xr:uid="{7CCD8B5B-3621-46BC-B71E-8237F6CCDE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M129" authorId="0" shapeId="0" xr:uid="{EFCC96C5-AC30-4ACE-ACB6-886595E194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N129" authorId="0" shapeId="0" xr:uid="{A33C9DAE-5FCA-4758-923F-3AA68EB613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24/09</t>
        </r>
      </text>
    </comment>
    <comment ref="O129" authorId="0" shapeId="0" xr:uid="{2E5F5779-2378-49E3-9030-89D13AE6FA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13/11</t>
        </r>
      </text>
    </comment>
    <comment ref="F130" authorId="0" shapeId="0" xr:uid="{77A8C3FD-DD92-409A-A37A-CDEE6EA8AE9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G130" authorId="0" shapeId="0" xr:uid="{C0AFAA8D-CDF0-47DE-99D0-260569271BB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H130" authorId="0" shapeId="0" xr:uid="{C7200A71-9034-43AE-887A-4E402AB8C3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07/05</t>
        </r>
      </text>
    </comment>
    <comment ref="J130" authorId="0" shapeId="0" xr:uid="{35ED5400-99A2-4349-9D1C-933356C0158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31/05</t>
        </r>
      </text>
    </comment>
    <comment ref="L130" authorId="0" shapeId="0" xr:uid="{727C55EE-CE29-43CC-B438-00D7A855C1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17/07</t>
        </r>
      </text>
    </comment>
    <comment ref="M130" authorId="0" shapeId="0" xr:uid="{207FEBE3-7691-46EF-A7AE-A03DC73B12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05/09</t>
        </r>
      </text>
    </comment>
    <comment ref="P130" authorId="0" shapeId="0" xr:uid="{45A226D1-AEFF-4A79-AFB1-FA4D849D72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03/12</t>
        </r>
      </text>
    </comment>
    <comment ref="Q130" authorId="0" shapeId="0" xr:uid="{D7C520C4-48C1-41F8-82D5-00B141D76DF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29/12</t>
        </r>
      </text>
    </comment>
    <comment ref="F131" authorId="0" shapeId="0" xr:uid="{0A39AD6F-396A-4EBA-8DAB-599EBB7374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10/02 S/347.00 - S/0.86 Dic24</t>
        </r>
      </text>
    </comment>
    <comment ref="G131" authorId="0" shapeId="0" xr:uid="{32A00A90-0A54-4583-BE60-CE0A43C635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11/03</t>
        </r>
      </text>
    </comment>
    <comment ref="H131" authorId="0" shapeId="0" xr:uid="{4C9F785F-8670-49F4-B0EA-BF21FBBC56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10/04</t>
        </r>
      </text>
    </comment>
    <comment ref="I131" authorId="0" shapeId="0" xr:uid="{43003A49-54A6-4360-911D-E2F50E78EE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09/05</t>
        </r>
      </text>
    </comment>
    <comment ref="J131" authorId="0" shapeId="0" xr:uid="{BE867035-B164-41D4-861A-E28C4DF71B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10/06</t>
        </r>
      </text>
    </comment>
    <comment ref="K131" authorId="0" shapeId="0" xr:uid="{74D050B3-2509-4892-963C-B3D11050B1D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10/07</t>
        </r>
      </text>
    </comment>
    <comment ref="L131" authorId="0" shapeId="0" xr:uid="{46FF65EA-7342-4C35-BEB0-67D6128F07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08/08</t>
        </r>
      </text>
    </comment>
    <comment ref="M131" authorId="0" shapeId="0" xr:uid="{1C09FC1A-0B24-43A1-9399-BC183F8E97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10/09</t>
        </r>
      </text>
    </comment>
    <comment ref="N131" authorId="0" shapeId="0" xr:uid="{6F5E3E71-E8F2-4C19-8896-F3599FDBD5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10/10</t>
        </r>
      </text>
    </comment>
    <comment ref="O131" authorId="0" shapeId="0" xr:uid="{530A507E-5BF6-4C6A-8A7C-28942BE131D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10/11</t>
        </r>
      </text>
    </comment>
    <comment ref="P131" authorId="0" shapeId="0" xr:uid="{3A12841F-061A-4EB0-B761-92DB04CF86F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10/12</t>
        </r>
      </text>
    </comment>
    <comment ref="F132" authorId="0" shapeId="0" xr:uid="{25CCC11A-8739-4E8A-BA61-911E3BF20CB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18/01</t>
        </r>
      </text>
    </comment>
    <comment ref="G132" authorId="0" shapeId="0" xr:uid="{474B1ADC-A245-4DB2-9B4E-AFA27F7C45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32" authorId="0" shapeId="0" xr:uid="{2CF470FB-6216-4A34-8350-9580556D25E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16/03</t>
        </r>
      </text>
    </comment>
    <comment ref="I132" authorId="0" shapeId="0" xr:uid="{06239AD3-31B6-482B-BF01-71B8C661EEF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J132" authorId="0" shapeId="0" xr:uid="{E93FB6CA-20C6-4E9B-A191-2318755343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132" authorId="0" shapeId="0" xr:uid="{EB82BF71-DFBE-41B0-AB2B-C1230D4447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132" authorId="0" shapeId="0" xr:uid="{16070DEA-017B-471A-957A-B571E59ED7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16/07</t>
        </r>
      </text>
    </comment>
    <comment ref="M132" authorId="0" shapeId="0" xr:uid="{38DC703D-ACCD-474C-8EFD-73AFE38662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132" authorId="0" shapeId="0" xr:uid="{188001F0-8E9C-4461-8468-252C5FDF4DE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20/09</t>
        </r>
      </text>
    </comment>
    <comment ref="O132" authorId="0" shapeId="0" xr:uid="{D57A2FCC-95D0-4FEA-AB93-DE98826E3C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19/10</t>
        </r>
      </text>
    </comment>
    <comment ref="P132" authorId="0" shapeId="0" xr:uid="{D57F67E5-13EE-43DB-BF9A-44EDD11631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132" authorId="0" shapeId="0" xr:uid="{D0BDDB38-1585-4DA0-9FE1-B7C7469048BD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26/12</t>
        </r>
      </text>
    </comment>
    <comment ref="G133" authorId="0" shapeId="0" xr:uid="{1565CC48-B66F-4CEE-A3D7-0F111DF5C6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I133" authorId="0" shapeId="0" xr:uid="{A320AAD7-7D1D-4711-A369-DF8AEBA9EF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05/05</t>
        </r>
      </text>
    </comment>
    <comment ref="K133" authorId="0" shapeId="0" xr:uid="{C567E6D7-0920-4B38-93AD-184420062D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M133" authorId="0" shapeId="0" xr:uid="{67158D08-D47E-44F6-A187-0B5F0A562B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27/08</t>
        </r>
      </text>
    </comment>
    <comment ref="N133" authorId="0" shapeId="0" xr:uid="{1FAD78F2-8F0A-489A-950F-9207066560B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11/10</t>
        </r>
      </text>
    </comment>
    <comment ref="P133" authorId="0" shapeId="0" xr:uid="{B9309E2A-8734-42FE-9AF8-1BD2DD3D86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F134" authorId="0" shapeId="0" xr:uid="{E32C3433-F80B-4E7D-8F2F-9DB400D6AA2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18/01</t>
        </r>
      </text>
    </comment>
    <comment ref="G134" authorId="0" shapeId="0" xr:uid="{15385BC5-7338-4472-97BF-8310117688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134" authorId="0" shapeId="0" xr:uid="{EB9908E3-BD2F-47D6-8CCB-6CA324A07E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20/03</t>
        </r>
      </text>
    </comment>
    <comment ref="I134" authorId="0" shapeId="0" xr:uid="{306A0D1E-51F3-4859-85A0-2B0DFDC474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134" authorId="0" shapeId="0" xr:uid="{3D5ABCFE-1186-42EB-BDA8-C331FF7BE33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134" authorId="0" shapeId="0" xr:uid="{AF9BE50D-0CED-4B36-9F9B-CFABE9C6FF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134" authorId="0" shapeId="0" xr:uid="{D20E6AF7-1460-4438-BCD5-819959A8C4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20/07</t>
        </r>
      </text>
    </comment>
    <comment ref="M134" authorId="0" shapeId="0" xr:uid="{D6EE1A51-B182-49F3-A10F-1A7A8FB7066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17/08</t>
        </r>
      </text>
    </comment>
    <comment ref="N134" authorId="0" shapeId="0" xr:uid="{4C1A3A36-9538-442E-8C97-5D8F5D06E15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134" authorId="0" shapeId="0" xr:uid="{72D20C69-C2A7-4217-9B7C-135D92E183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19/10</t>
        </r>
      </text>
    </comment>
    <comment ref="P134" authorId="0" shapeId="0" xr:uid="{BDD3E63F-EADC-438A-9CBC-EF7C420E3B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20/11</t>
        </r>
      </text>
    </comment>
    <comment ref="Q134" authorId="0" shapeId="0" xr:uid="{E9F60A89-EEC9-418D-B883-51A5F7F373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F135" authorId="0" shapeId="0" xr:uid="{3A0D2C76-5D00-4E21-AEF2-5FEEDE9564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20/01</t>
        </r>
      </text>
    </comment>
    <comment ref="G135" authorId="0" shapeId="0" xr:uid="{AA638A29-0F2E-40FA-A65A-2C2595C7A3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35" authorId="0" shapeId="0" xr:uid="{F2A32741-A35D-4B42-A159-434B5B98A44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35" authorId="0" shapeId="0" xr:uid="{7F6D97EF-1205-4EC4-A0F8-5CFE20B9A9E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135" authorId="0" shapeId="0" xr:uid="{F80D89E9-B605-4980-AF79-136BAF0433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 S/362.00
17/05 S/1.75</t>
        </r>
      </text>
    </comment>
    <comment ref="K135" authorId="0" shapeId="0" xr:uid="{231F061C-0362-4BB8-B503-88FD73695A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135" authorId="0" shapeId="0" xr:uid="{D147C8CF-59AA-47DA-B387-E986D80EF1E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35" authorId="0" shapeId="0" xr:uid="{006D7BFB-C4CF-41DF-8662-021B85A5A5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135" authorId="0" shapeId="0" xr:uid="{169060E3-C70C-4DD1-801D-F97B6DE6A9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135" authorId="0" shapeId="0" xr:uid="{FE29F3AC-822E-4555-AF85-BEF8521C1A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16/10</t>
        </r>
      </text>
    </comment>
    <comment ref="P135" authorId="0" shapeId="0" xr:uid="{65477108-6640-4B0B-BF63-7C54952269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135" authorId="0" shapeId="0" xr:uid="{98056764-67BB-468F-A560-6CB18F18EF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17/12</t>
        </r>
      </text>
    </comment>
    <comment ref="F136" authorId="0" shapeId="0" xr:uid="{E5A89374-D14D-4457-B8C2-EE8A4943C6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G136" authorId="0" shapeId="0" xr:uid="{A95D48FA-1FC0-4D6D-B832-68B1D445FD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27/01</t>
        </r>
      </text>
    </comment>
    <comment ref="H136" authorId="0" shapeId="0" xr:uid="{726A3747-6CA8-45F5-9B0F-AD91E69195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23/03</t>
        </r>
      </text>
    </comment>
    <comment ref="I136" authorId="0" shapeId="0" xr:uid="{14A79AD1-1BDB-4CDA-9B3B-60645F3F7AB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136" authorId="0" shapeId="0" xr:uid="{458A7287-B86E-4374-AE39-795173645A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21/05</t>
        </r>
      </text>
    </comment>
    <comment ref="K136" authorId="0" shapeId="0" xr:uid="{AC588702-BF86-4E3F-8F38-DEA26DD34F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04/07</t>
        </r>
      </text>
    </comment>
    <comment ref="M136" authorId="0" shapeId="0" xr:uid="{767FB6D0-E9AB-4F93-9CDC-6F93C5C3A4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136" authorId="0" shapeId="0" xr:uid="{350F53C1-7C85-4951-93D7-E6A7E3FEC7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02/10</t>
        </r>
      </text>
    </comment>
    <comment ref="O136" authorId="0" shapeId="0" xr:uid="{599AB69E-276D-4E4D-A5D3-89FF79AE89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27/10</t>
        </r>
      </text>
    </comment>
    <comment ref="P136" authorId="0" shapeId="0" xr:uid="{16BB4F95-14A5-4577-84FF-47DB4AADE3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06/12</t>
        </r>
      </text>
    </comment>
    <comment ref="Q136" authorId="0" shapeId="0" xr:uid="{973D88F6-DCD1-4642-B31C-7FF12E384E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22/12</t>
        </r>
      </text>
    </comment>
    <comment ref="H137" authorId="0" shapeId="0" xr:uid="{8C868CAC-06D9-46E8-9227-45C075DE8D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21/03</t>
        </r>
      </text>
    </comment>
    <comment ref="J137" authorId="0" shapeId="0" xr:uid="{B61796ED-460F-4850-8606-C2385C1E4F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L137" authorId="0" shapeId="0" xr:uid="{C4D36FFB-2BD2-4AA3-8510-8153AC1C42B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05/08</t>
        </r>
      </text>
    </comment>
    <comment ref="N137" authorId="0" shapeId="0" xr:uid="{26EC7E8E-8DF3-4D3D-9CA5-8E4A48B7C7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10/10</t>
        </r>
      </text>
    </comment>
    <comment ref="P137" authorId="0" shapeId="0" xr:uid="{708FB145-B03E-496A-B668-569DF98FEB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17/11</t>
        </r>
      </text>
    </comment>
    <comment ref="F138" authorId="0" shapeId="0" xr:uid="{CD36C2BC-858D-4B49-A8B8-1D9AFBC71F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138" authorId="0" shapeId="0" xr:uid="{AA49474B-F2AC-4CDA-9788-56BF9E04FA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38" authorId="0" shapeId="0" xr:uid="{B8D4E157-443A-427B-9E56-C9477233CE2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03/04</t>
        </r>
      </text>
    </comment>
    <comment ref="I138" authorId="0" shapeId="0" xr:uid="{4FCC67E6-0654-4D42-A7D6-FADB6D1F09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138" authorId="0" shapeId="0" xr:uid="{CC1E9BAD-2ED3-4E96-96DA-B83B874A2D2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K138" authorId="0" shapeId="0" xr:uid="{CEF28E3B-97DD-43AB-9966-E5FA9189E11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04/07</t>
        </r>
      </text>
    </comment>
    <comment ref="L138" authorId="0" shapeId="0" xr:uid="{46DA4306-4D52-4380-A650-65509418692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M138" authorId="0" shapeId="0" xr:uid="{56241C81-CFDE-46F4-934E-A6E9083963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04/09</t>
        </r>
      </text>
    </comment>
    <comment ref="N138" authorId="0" shapeId="0" xr:uid="{FAA76011-2262-4688-96EB-087BF28938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</t>
        </r>
      </text>
    </comment>
    <comment ref="O138" authorId="0" shapeId="0" xr:uid="{A3A8AD35-7335-4B00-9C53-E2B44D2E4A5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29/10</t>
        </r>
      </text>
    </comment>
    <comment ref="P138" authorId="0" shapeId="0" xr:uid="{051517DD-6DCB-4F12-BD87-7DA4A9EC66C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05/12</t>
        </r>
      </text>
    </comment>
    <comment ref="Q138" authorId="0" shapeId="0" xr:uid="{BB42BC54-7477-4BFC-B467-B1581A5C6B8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05/01</t>
        </r>
      </text>
    </comment>
    <comment ref="F139" authorId="0" shapeId="0" xr:uid="{7363F7F4-8967-48A0-90D9-D425FEC0DE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02/02</t>
        </r>
      </text>
    </comment>
    <comment ref="G139" authorId="0" shapeId="0" xr:uid="{355A4DA7-FB66-4C82-84DE-1EA30C8AF7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05/03</t>
        </r>
      </text>
    </comment>
    <comment ref="H139" authorId="0" shapeId="0" xr:uid="{D280FDAE-05CB-44AD-A9A9-959D32E33A1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05/04</t>
        </r>
      </text>
    </comment>
    <comment ref="I139" authorId="0" shapeId="0" xr:uid="{DEECB83C-33D2-4E76-AD95-440F03A5C7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06/05</t>
        </r>
      </text>
    </comment>
    <comment ref="J139" authorId="0" shapeId="0" xr:uid="{AF760E9B-C133-4D81-AA7E-3F6EDC7099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15/06 ver ingreso
</t>
        </r>
      </text>
    </comment>
    <comment ref="K139" authorId="0" shapeId="0" xr:uid="{11B474DD-2542-4B87-A63A-9A3153F0CA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04/07</t>
        </r>
      </text>
    </comment>
    <comment ref="L139" authorId="0" shapeId="0" xr:uid="{BF7850B7-7A8D-4C13-9903-E5C4F72F0A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03/08</t>
        </r>
      </text>
    </comment>
    <comment ref="M139" authorId="0" shapeId="0" xr:uid="{E873D831-245D-4A62-8D48-F3900277171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N139" authorId="0" shapeId="0" xr:uid="{B3E7096D-11FC-438B-9BBF-7382C073BD5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O139" authorId="0" shapeId="0" xr:uid="{1B311B40-8233-4F2C-B293-25FB7E7D3D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05/11</t>
        </r>
      </text>
    </comment>
    <comment ref="Q139" authorId="0" shapeId="0" xr:uid="{76D7768F-1EBC-439F-8716-E9A12231E7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24/12</t>
        </r>
      </text>
    </comment>
    <comment ref="F140" authorId="0" shapeId="0" xr:uid="{AE4469B3-43FC-4E16-B4CB-3291F0916B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140" authorId="0" shapeId="0" xr:uid="{672DAC24-DE62-4F9E-8542-C9B4CD603B1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40" authorId="0" shapeId="0" xr:uid="{9373DE89-6C4A-444E-84AE-C1CF189393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04/04</t>
        </r>
      </text>
    </comment>
    <comment ref="I140" authorId="0" shapeId="0" xr:uid="{BE87C7DE-BB54-4EE1-BCD7-6C4F8F7FEF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03/05</t>
        </r>
      </text>
    </comment>
    <comment ref="J140" authorId="0" shapeId="0" xr:uid="{509DB661-6EF3-4626-A155-CC8BD4D9F15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03/06</t>
        </r>
      </text>
    </comment>
    <comment ref="K140" authorId="0" shapeId="0" xr:uid="{23E69B7A-6CD7-4919-9900-D0C3650ABB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02/07</t>
        </r>
      </text>
    </comment>
    <comment ref="L140" authorId="0" shapeId="0" xr:uid="{0FF06F12-8D7D-4BED-A424-C196C9944B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02/08</t>
        </r>
      </text>
    </comment>
    <comment ref="M140" authorId="0" shapeId="0" xr:uid="{FF202F49-C09E-40A4-875C-F3437B8321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02/09</t>
        </r>
      </text>
    </comment>
    <comment ref="N140" authorId="0" shapeId="0" xr:uid="{7AAF2E6E-4534-47CB-BC23-6586C9DCB3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O140" authorId="0" shapeId="0" xr:uid="{F86E4CC9-B849-458F-BB48-9851BD6CD6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140" authorId="0" shapeId="0" xr:uid="{709F98F2-E9B8-47BA-9F19-0734509822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10/12</t>
        </r>
      </text>
    </comment>
    <comment ref="F141" authorId="0" shapeId="0" xr:uid="{C87EC029-7554-45DC-B25D-1D9723E98C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24/01</t>
        </r>
      </text>
    </comment>
    <comment ref="G141" authorId="0" shapeId="0" xr:uid="{04F3F0C3-AE70-4714-9685-67615A42AC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17/02</t>
        </r>
      </text>
    </comment>
    <comment ref="H141" authorId="0" shapeId="0" xr:uid="{C7167F94-2327-4529-B490-89E93A936C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41" authorId="0" shapeId="0" xr:uid="{EA7C0A4B-9227-4A87-A02A-7229003F4A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141" authorId="0" shapeId="0" xr:uid="{3C25486F-A7C8-4673-A86E-483AE084F4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26/05</t>
        </r>
      </text>
    </comment>
    <comment ref="K141" authorId="0" shapeId="0" xr:uid="{EFCDC176-C824-4547-9B72-A0F8EF2FDA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04/07</t>
        </r>
      </text>
    </comment>
    <comment ref="L141" authorId="0" shapeId="0" xr:uid="{37F24C7F-F683-4D64-AFB7-72680F83D7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02/08</t>
        </r>
      </text>
    </comment>
    <comment ref="M141" authorId="0" shapeId="0" xr:uid="{F46F4FF5-C049-4F98-9411-BF074792A1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08/09</t>
        </r>
      </text>
    </comment>
    <comment ref="N141" authorId="0" shapeId="0" xr:uid="{D4DA20E6-316C-4714-ADC5-620541C49D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</t>
        </r>
      </text>
    </comment>
    <comment ref="O141" authorId="0" shapeId="0" xr:uid="{FB0E1FB5-60BC-4FDC-B733-A89B3DE015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30/10</t>
        </r>
      </text>
    </comment>
    <comment ref="P141" authorId="0" shapeId="0" xr:uid="{8213DE77-D6F0-4BE2-85DF-6FE53641E6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8/11</t>
        </r>
      </text>
    </comment>
    <comment ref="F142" authorId="0" shapeId="0" xr:uid="{B89D83A6-6D57-4D7A-B3B9-B4767FBA91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08/02 S/318.00 -S/0.30 Dic24</t>
        </r>
      </text>
    </comment>
    <comment ref="G142" authorId="0" shapeId="0" xr:uid="{F3D33CDD-2793-4C82-8794-0F5996E4BB6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07/03</t>
        </r>
      </text>
    </comment>
    <comment ref="H142" authorId="0" shapeId="0" xr:uid="{BDB1BE66-2CA5-48B8-A8A6-F5B069FAEC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07/04</t>
        </r>
      </text>
    </comment>
    <comment ref="I142" authorId="0" shapeId="0" xr:uid="{6CEE3347-3246-4814-8306-A74A99DD6BE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06/05</t>
        </r>
      </text>
    </comment>
    <comment ref="J142" authorId="0" shapeId="0" xr:uid="{3654CFFB-B530-4554-9912-2460498A39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08/06</t>
        </r>
      </text>
    </comment>
    <comment ref="K142" authorId="0" shapeId="0" xr:uid="{794FD945-7A31-4EB4-B3CA-E3ED0488981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09/07</t>
        </r>
      </text>
    </comment>
    <comment ref="L142" authorId="0" shapeId="0" xr:uid="{75A9C851-5B86-4E6E-961F-53B1794F59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11/08</t>
        </r>
      </text>
    </comment>
    <comment ref="M142" authorId="0" shapeId="0" xr:uid="{13D7D292-C384-42F9-9513-E1D424328A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10/09</t>
        </r>
      </text>
    </comment>
    <comment ref="N142" authorId="0" shapeId="0" xr:uid="{1089BEDF-3AAB-44FD-838C-F955F8A9FF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12/10</t>
        </r>
      </text>
    </comment>
    <comment ref="O142" authorId="0" shapeId="0" xr:uid="{6687CF36-CB32-40A7-B28E-0FF897132F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09/11</t>
        </r>
      </text>
    </comment>
    <comment ref="P142" authorId="0" shapeId="0" xr:uid="{140DF1CA-D51A-4FC6-9926-181ACE873E0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09/12</t>
        </r>
      </text>
    </comment>
    <comment ref="F143" authorId="0" shapeId="0" xr:uid="{0A78565E-69E1-4C60-A4E7-72D7471387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G143" authorId="0" shapeId="0" xr:uid="{7E2B2919-3833-454B-B1AF-9C529DB11DF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I143" authorId="0" shapeId="0" xr:uid="{FC25B5B8-5939-4EEE-866D-BBB23830AA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07/05</t>
        </r>
      </text>
    </comment>
    <comment ref="J143" authorId="0" shapeId="0" xr:uid="{F37E167C-258F-40FD-B168-7A1B0E18DE3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K143" authorId="0" shapeId="0" xr:uid="{2C3CF4C7-F664-471B-8AEC-619A3F726F7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L143" authorId="0" shapeId="0" xr:uid="{5B037602-3162-4547-8FE9-249753B44F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</t>
        </r>
      </text>
    </comment>
    <comment ref="M143" authorId="0" shapeId="0" xr:uid="{9B5A60E9-71BA-4C31-9B12-28157B25702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25/08</t>
        </r>
      </text>
    </comment>
    <comment ref="N143" authorId="0" shapeId="0" xr:uid="{E5D2C98F-7C4F-4388-95E1-7C656DC10E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25/09</t>
        </r>
      </text>
    </comment>
    <comment ref="O143" authorId="0" shapeId="0" xr:uid="{D7D683A6-14D3-4940-88F5-442CE80DB94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27/10</t>
        </r>
      </text>
    </comment>
    <comment ref="P143" authorId="0" shapeId="0" xr:uid="{30AC6FE3-AFF0-496A-9D9D-35C198E6BE3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28/11</t>
        </r>
      </text>
    </comment>
    <comment ref="F144" authorId="0" shapeId="0" xr:uid="{86A06EDB-1D77-4881-96BF-02BBE62685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144" authorId="0" shapeId="0" xr:uid="{25307DFB-1CAA-4CA6-810D-8C197EDA5EC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16/02</t>
        </r>
      </text>
    </comment>
    <comment ref="H144" authorId="0" shapeId="0" xr:uid="{141323E8-F11E-44BB-AFD9-7BC9D6D805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17/03</t>
        </r>
      </text>
    </comment>
    <comment ref="I144" authorId="0" shapeId="0" xr:uid="{207C215A-207E-489A-BF3E-64FB3AFC87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27/04</t>
        </r>
      </text>
    </comment>
    <comment ref="J144" authorId="0" shapeId="0" xr:uid="{8E6ABCE8-3AD8-4A7B-9D19-1A82F1DB20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19/05</t>
        </r>
      </text>
    </comment>
    <comment ref="K144" authorId="0" shapeId="0" xr:uid="{A8DE6CCF-F40B-4B06-B917-3D8726AFE1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23/06</t>
        </r>
      </text>
    </comment>
    <comment ref="L144" authorId="0" shapeId="0" xr:uid="{BD6827A2-97FD-4E5A-9243-616EE4A1B1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44" authorId="0" shapeId="0" xr:uid="{F3CAD6E4-197A-4127-9363-7C14FA19CE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144" authorId="0" shapeId="0" xr:uid="{28DB5349-9AAB-4023-90A0-D1E9DA5BB9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16/09</t>
        </r>
      </text>
    </comment>
    <comment ref="O144" authorId="0" shapeId="0" xr:uid="{03005396-9C7A-4D5A-AA59-8D6FB0838E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15/10</t>
        </r>
      </text>
    </comment>
    <comment ref="P144" authorId="0" shapeId="0" xr:uid="{F934E328-DF34-4F8B-BE16-6684AD2CF3F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144" authorId="0" shapeId="0" xr:uid="{140D317A-3376-4E72-A705-B2ECAF11D11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17/12</t>
        </r>
      </text>
    </comment>
    <comment ref="F145" authorId="0" shapeId="0" xr:uid="{861E7D65-532B-4CD0-99B4-D0AFE2FC49B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29/01</t>
        </r>
      </text>
    </comment>
    <comment ref="G145" authorId="0" shapeId="0" xr:uid="{4686B9F3-2336-4951-B2D2-03F5DE4DA3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28/02</t>
        </r>
      </text>
    </comment>
    <comment ref="H145" authorId="0" shapeId="0" xr:uid="{9643EFFF-B461-407A-87F1-A03674D965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29/03</t>
        </r>
      </text>
    </comment>
    <comment ref="I145" authorId="0" shapeId="0" xr:uid="{D4D7EC6D-3334-4001-B2A0-295549BA032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145" authorId="0" shapeId="0" xr:uid="{8EDABD00-661E-417C-B592-0FC0FA4F92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K145" authorId="0" shapeId="0" xr:uid="{732508AC-E8E7-4C05-AE8F-48F232CE5A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30/06</t>
        </r>
      </text>
    </comment>
    <comment ref="L145" authorId="0" shapeId="0" xr:uid="{1E49E1F2-87C6-4E7C-A0F0-DF0F9F7D1EA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30/07</t>
        </r>
      </text>
    </comment>
    <comment ref="M145" authorId="0" shapeId="0" xr:uid="{ED912C0E-3F53-4D12-9BF2-1E610D5339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29/08</t>
        </r>
      </text>
    </comment>
    <comment ref="N145" authorId="0" shapeId="0" xr:uid="{EE8DB32C-E7E1-4034-AF0B-AC4EB104B5A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O145" authorId="0" shapeId="0" xr:uid="{CE8695E4-A5F5-4DC5-9475-34241B16AB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05/11</t>
        </r>
      </text>
    </comment>
    <comment ref="P145" authorId="0" shapeId="0" xr:uid="{BDD9FBAE-4F29-482D-8B3E-BD228D0A37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Q145" authorId="0" shapeId="0" xr:uid="{95CC8270-6379-46CC-8E9B-5EC87E5777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25/12</t>
        </r>
      </text>
    </comment>
    <comment ref="F146" authorId="0" shapeId="0" xr:uid="{AB0F0B33-4515-4F14-8BFB-E187D1119FE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24/01</t>
        </r>
      </text>
    </comment>
    <comment ref="G146" authorId="0" shapeId="0" xr:uid="{85FD3ADF-8E20-4226-B8D1-5C968D0A87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25/02</t>
        </r>
      </text>
    </comment>
    <comment ref="H146" authorId="0" shapeId="0" xr:uid="{45AEAA0A-A94E-4B28-B0E6-E3F569C715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146" authorId="0" shapeId="0" xr:uid="{3705984B-F823-4EAE-AA78-9D3EE556C4C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19/05</t>
        </r>
      </text>
    </comment>
    <comment ref="J146" authorId="0" shapeId="0" xr:uid="{79B6C9D9-6DAA-4D95-B986-A7673DF1DD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K146" authorId="0" shapeId="0" xr:uid="{19B4EB97-4470-43A6-A330-D89E732CA7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07/07</t>
        </r>
      </text>
    </comment>
    <comment ref="L146" authorId="0" shapeId="0" xr:uid="{C1EBA322-B9AB-4D34-934C-3F3A1A570F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30/07</t>
        </r>
      </text>
    </comment>
    <comment ref="N146" authorId="0" shapeId="0" xr:uid="{1C4AD352-87EA-41A1-8DD5-67A72C0663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25/09</t>
        </r>
      </text>
    </comment>
    <comment ref="P146" authorId="0" shapeId="0" xr:uid="{98B05F2B-EC0C-4240-826D-9F549DC51C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23/12</t>
        </r>
      </text>
    </comment>
    <comment ref="B147" authorId="0" shapeId="0" xr:uid="{7557D36B-7A7A-4AA2-80CD-D1BBE89D147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Alquiler Estacionamiento desde el 5/Ago/23 
S/300.00</t>
        </r>
      </text>
    </comment>
    <comment ref="F147" authorId="0" shapeId="0" xr:uid="{56617DFB-4411-41DE-AE9E-07D04736FE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147" authorId="0" shapeId="0" xr:uid="{057AD329-422C-457F-9C28-F8CCE6653A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27/02</t>
        </r>
      </text>
    </comment>
    <comment ref="H147" authorId="0" shapeId="0" xr:uid="{7182404C-D680-4F28-B443-8617D4FAF9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I147" authorId="0" shapeId="0" xr:uid="{132BD9F7-63EC-42CF-96C0-2C85186223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J147" authorId="0" shapeId="0" xr:uid="{BEFC4D3B-9F8C-4F11-9847-0888EEB6FA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22/05</t>
        </r>
      </text>
    </comment>
    <comment ref="K147" authorId="0" shapeId="0" xr:uid="{2D9FB97A-F4B0-4627-A332-48D2F4A269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20/06</t>
        </r>
      </text>
    </comment>
    <comment ref="L147" authorId="0" shapeId="0" xr:uid="{F52D9706-F30D-4AB1-8466-C6181022ED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</t>
        </r>
      </text>
    </comment>
    <comment ref="M147" authorId="0" shapeId="0" xr:uid="{3CA89806-DAFB-424E-9BA1-6D07F41B628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21/08</t>
        </r>
      </text>
    </comment>
    <comment ref="N147" authorId="0" shapeId="0" xr:uid="{99C0AB31-EA77-43F0-BF36-84227D94CE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147" authorId="0" shapeId="0" xr:uid="{068F47C4-2DB9-4F96-AE0A-9A8A73D0FC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23/10</t>
        </r>
      </text>
    </comment>
    <comment ref="P147" authorId="0" shapeId="0" xr:uid="{ACCAE82C-6154-4FF7-AA01-B5033E6695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25/11</t>
        </r>
      </text>
    </comment>
    <comment ref="Q147" authorId="0" shapeId="0" xr:uid="{4C4D5272-E976-4557-AA18-E828199A44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17/12</t>
        </r>
      </text>
    </comment>
    <comment ref="G148" authorId="0" shapeId="0" xr:uid="{93D1061C-C563-4996-858A-0E3D59BE9DD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11/03</t>
        </r>
      </text>
    </comment>
    <comment ref="I148" authorId="0" shapeId="0" xr:uid="{48033823-E742-41B2-9688-39108D13AF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K148" authorId="0" shapeId="0" xr:uid="{F7E8CA72-F299-48B1-B228-4A304B4631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H149" authorId="0" shapeId="0" xr:uid="{D585F6FE-81BC-49D1-B1C4-E80D7C81E2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12/04</t>
        </r>
      </text>
    </comment>
    <comment ref="J149" authorId="0" shapeId="0" xr:uid="{D9070674-EB48-4871-9B98-EC60ECE2CD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09/06</t>
        </r>
      </text>
    </comment>
    <comment ref="L149" authorId="0" shapeId="0" xr:uid="{86E59CF4-166F-4855-B626-BE095CBD21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07/08</t>
        </r>
      </text>
    </comment>
    <comment ref="N149" authorId="0" shapeId="0" xr:uid="{F09799EC-7F92-44DA-B753-13597D5B10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07/10</t>
        </r>
      </text>
    </comment>
    <comment ref="Q149" authorId="0" shapeId="0" xr:uid="{6D499A2B-1B86-46D5-985C-56ACB8965A2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150" authorId="0" shapeId="0" xr:uid="{07AA9A05-8AA0-4E28-9D62-1BF5C424265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28/01</t>
        </r>
      </text>
    </comment>
    <comment ref="G150" authorId="0" shapeId="0" xr:uid="{2F13D644-DDA0-41F4-BB94-58300F96C8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50" authorId="0" shapeId="0" xr:uid="{0004A8DE-66F1-427D-97DB-90136E0299C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25/03</t>
        </r>
      </text>
    </comment>
    <comment ref="I150" authorId="0" shapeId="0" xr:uid="{7A6CD73B-C331-44AB-8F47-D1A254FC03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25/04</t>
        </r>
      </text>
    </comment>
    <comment ref="J150" authorId="0" shapeId="0" xr:uid="{0D9778C9-AE4D-410B-A094-7D2C737AAC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150" authorId="0" shapeId="0" xr:uid="{9526BF1E-C742-4304-9108-E9E98B270D0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20/06</t>
        </r>
      </text>
    </comment>
    <comment ref="L150" authorId="0" shapeId="0" xr:uid="{410E704F-8836-4B59-B7D1-C0934A348D2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21/07</t>
        </r>
      </text>
    </comment>
    <comment ref="M150" authorId="0" shapeId="0" xr:uid="{E07DDCF1-48CF-4023-BA5D-5126AE0875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150" authorId="0" shapeId="0" xr:uid="{3FC7B677-2E9F-458E-81FF-4E1451860E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O150" authorId="0" shapeId="0" xr:uid="{5DCB29BF-8179-4398-A112-7A05D97D097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 </t>
        </r>
      </text>
    </comment>
    <comment ref="P150" authorId="0" shapeId="0" xr:uid="{2C2AD5C2-0AA3-4C11-A07E-07675780FC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22/11</t>
        </r>
      </text>
    </comment>
    <comment ref="Q150" authorId="0" shapeId="0" xr:uid="{5B9CE31B-2950-4D5F-9F90-F1C0E3CD846D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26/12</t>
        </r>
      </text>
    </comment>
    <comment ref="F151" authorId="0" shapeId="0" xr:uid="{E7960103-F4E1-43EC-A07D-9C00170715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04/02</t>
        </r>
      </text>
    </comment>
    <comment ref="G151" authorId="0" shapeId="0" xr:uid="{1E90576D-15AD-4533-BC14-E8A4AC4ACA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05/03</t>
        </r>
      </text>
    </comment>
    <comment ref="H151" authorId="0" shapeId="0" xr:uid="{DDC0D758-6E51-45A4-9C06-E841927AD31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151" authorId="0" shapeId="0" xr:uid="{7BE4E765-9E02-4D14-AF33-00C1FD0530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05/05</t>
        </r>
      </text>
    </comment>
    <comment ref="J151" authorId="0" shapeId="0" xr:uid="{A05C169C-A9CF-45A8-B726-E338FD9844D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28/05</t>
        </r>
      </text>
    </comment>
    <comment ref="K151" authorId="0" shapeId="0" xr:uid="{C30165F5-04BB-4472-946C-AA37DBA4B77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04/07</t>
        </r>
      </text>
    </comment>
    <comment ref="L151" authorId="0" shapeId="0" xr:uid="{425541A5-033D-41C7-84C8-4E0E8CE34D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08/08</t>
        </r>
      </text>
    </comment>
    <comment ref="M151" authorId="0" shapeId="0" xr:uid="{569AE6A6-2F04-4D3C-AAB7-2368F2261C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151" authorId="0" shapeId="0" xr:uid="{05F086CB-D2DD-4D33-A3C9-B0FDB5DCFB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09/10</t>
        </r>
      </text>
    </comment>
    <comment ref="P151" authorId="0" shapeId="0" xr:uid="{80CB2BA9-3F55-434D-B16D-B41266B17F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Q151" authorId="0" shapeId="0" xr:uid="{91983F06-EBEA-455A-BB24-ABDF9E916980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30/12</t>
        </r>
      </text>
    </comment>
    <comment ref="I152" authorId="0" shapeId="0" xr:uid="{EDE668DE-926A-4B9A-BD2B-381B8CA6E7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L152" authorId="0" shapeId="0" xr:uid="{99BF353F-A367-44F2-847B-0E69DC1550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28/07</t>
        </r>
      </text>
    </comment>
    <comment ref="N152" authorId="0" shapeId="0" xr:uid="{28FF07A6-E692-4D9D-A870-C79C253BA8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P152" authorId="0" shapeId="0" xr:uid="{F34E57CC-7D06-497E-AFA3-5643A6EE9A30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26/12</t>
        </r>
      </text>
    </comment>
    <comment ref="F153" authorId="0" shapeId="0" xr:uid="{810398C9-8920-45CD-AEB6-4CF92B7F57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G153" authorId="0" shapeId="0" xr:uid="{D9A164EF-5D17-4FE0-B07C-134EB8A9EB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26/02</t>
        </r>
      </text>
    </comment>
    <comment ref="H153" authorId="0" shapeId="0" xr:uid="{D5DDEBEA-BA30-40F4-B086-CE3A2EC4DF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153" authorId="0" shapeId="0" xr:uid="{534A8635-951C-47F1-8F95-03E60566B9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153" authorId="0" shapeId="0" xr:uid="{76B0AF5E-1A13-4CB9-8EB2-B69D4F4EB95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31/05</t>
        </r>
      </text>
    </comment>
    <comment ref="K153" authorId="0" shapeId="0" xr:uid="{8A4B63FD-5D96-4109-822B-55E89EFE3C5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L153" authorId="0" shapeId="0" xr:uid="{8FE591C5-49C3-4B1F-B7F2-97241DA123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31/07</t>
        </r>
      </text>
    </comment>
    <comment ref="M153" authorId="0" shapeId="0" xr:uid="{1CCDF57A-1393-4795-B9D5-D8D56055C8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28/08</t>
        </r>
      </text>
    </comment>
    <comment ref="O153" authorId="0" shapeId="0" xr:uid="{DA7DB1F9-3820-44DA-9488-0F671ACCAE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28/10</t>
        </r>
      </text>
    </comment>
    <comment ref="P153" authorId="0" shapeId="0" xr:uid="{8A13A322-095C-44EA-879B-92D531E9FB2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04/12</t>
        </r>
      </text>
    </comment>
    <comment ref="F154" authorId="0" shapeId="0" xr:uid="{BE93D76C-0FA9-483F-BA2A-81BEEFB6F36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03/01 S/300.00 Cochera
01/02 S/351.46
</t>
        </r>
      </text>
    </comment>
    <comment ref="G154" authorId="0" shapeId="0" xr:uid="{A094DEAE-AA83-425D-A50D-7D11CC96C9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05/02 S/300.00
01/03 S/414.62</t>
        </r>
      </text>
    </comment>
    <comment ref="H154" authorId="0" shapeId="0" xr:uid="{1719E265-2F9E-4E36-BA75-3692E3762D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06/03 S/300.00
01/04 S/401.95</t>
        </r>
      </text>
    </comment>
    <comment ref="I154" authorId="0" shapeId="0" xr:uid="{DEEB0D88-2F96-4F14-984B-0087AEDC44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 S/300.00
01/05 S/402.00
</t>
        </r>
      </text>
    </comment>
    <comment ref="J154" authorId="0" shapeId="0" xr:uid="{5B02ECEA-EA6D-4CDF-947E-7D0D00B1E0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08/05 S/300.00
01/06 S/402.94</t>
        </r>
      </text>
    </comment>
    <comment ref="K154" authorId="0" shapeId="0" xr:uid="{45EFD8EF-F366-4FCF-92E8-A7A115BB125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08/06 S/300.00
01/06 S/416.11</t>
        </r>
      </text>
    </comment>
    <comment ref="L154" authorId="0" shapeId="0" xr:uid="{0F7274DA-DE70-421E-A433-FFB64B269B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07/07 S/300.00
01/08 S/397.36</t>
        </r>
      </text>
    </comment>
    <comment ref="M154" authorId="0" shapeId="0" xr:uid="{B12B1327-1E54-4638-A8FC-9DC8BCB430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09/08 S/300.00
01/09 S/382.23 </t>
        </r>
      </text>
    </comment>
    <comment ref="N154" authorId="0" shapeId="0" xr:uid="{87FD4C13-7D58-4DAB-964D-2450D283EC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08/09 S/300.00
01/10 S/398.06</t>
        </r>
      </text>
    </comment>
    <comment ref="O154" authorId="0" shapeId="0" xr:uid="{84969F09-5D54-4B02-B211-2D6745EEC5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08/10 S/300.00
01/11 S/394.12</t>
        </r>
      </text>
    </comment>
    <comment ref="P154" authorId="0" shapeId="0" xr:uid="{DE75B5F1-E3B0-4549-A881-4FCA15F8E35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10/11 S/300.00
01/12S/407.74</t>
        </r>
      </text>
    </comment>
    <comment ref="Q154" authorId="0" shapeId="0" xr:uid="{59C4FD26-069E-4DC1-BFC3-F4531D3290B1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31/12</t>
        </r>
      </text>
    </comment>
    <comment ref="F155" authorId="0" shapeId="0" xr:uid="{09C374B3-81D5-4822-9253-219BA77934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05/04</t>
        </r>
      </text>
    </comment>
    <comment ref="H155" authorId="0" shapeId="0" xr:uid="{E045E475-6031-4D47-979A-B6DB85DDDCF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21/05</t>
        </r>
      </text>
    </comment>
    <comment ref="K155" authorId="0" shapeId="0" xr:uid="{C547A9C0-F966-4855-A404-63EACC6243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L155" authorId="0" shapeId="0" xr:uid="{E59147DF-033A-4663-B472-55FBF158A3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22/09</t>
        </r>
      </text>
    </comment>
    <comment ref="O155" authorId="0" shapeId="0" xr:uid="{63CA77F2-174E-41F7-A28E-4A423D0F365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15/10</t>
        </r>
      </text>
    </comment>
    <comment ref="P155" authorId="0" shapeId="0" xr:uid="{AC3FDB34-736A-4E2C-9847-17FA516F2C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17/11</t>
        </r>
      </text>
    </comment>
    <comment ref="Q155" authorId="0" shapeId="0" xr:uid="{7ED61330-09B0-4D43-B699-DA0E35AF511D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01/01</t>
        </r>
      </text>
    </comment>
    <comment ref="F156" authorId="0" shapeId="0" xr:uid="{F5086B49-343A-4421-8414-BCD0BE7757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G156" authorId="0" shapeId="0" xr:uid="{7DB91BC1-48A4-4119-9ABF-C58A8AC3C9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156" authorId="0" shapeId="0" xr:uid="{7034F866-4CFF-4D69-B73D-5270FABC3D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21/03</t>
        </r>
      </text>
    </comment>
    <comment ref="I156" authorId="0" shapeId="0" xr:uid="{A00763D5-36C4-42EA-BAF7-94CC6D7CEC7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17/04</t>
        </r>
      </text>
    </comment>
    <comment ref="J156" authorId="0" shapeId="0" xr:uid="{B0EA52D1-6A6A-407F-928C-8148EC552D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22/05</t>
        </r>
      </text>
    </comment>
    <comment ref="K156" authorId="0" shapeId="0" xr:uid="{89CC3AE1-DA59-4950-955A-06EE7CA18A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19/06</t>
        </r>
      </text>
    </comment>
    <comment ref="L156" authorId="0" shapeId="0" xr:uid="{EBA59854-9437-48BE-BAD3-293A718CE7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M156" authorId="0" shapeId="0" xr:uid="{474CD2F1-A949-43BE-A9E1-16A5D152D0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31/08</t>
        </r>
      </text>
    </comment>
    <comment ref="N156" authorId="0" shapeId="0" xr:uid="{B764F057-69D3-4C03-9D69-4CDC93E11B4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156" authorId="0" shapeId="0" xr:uid="{55D7EFF6-E683-449E-B9CF-F1883BBF4A6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03/11</t>
        </r>
      </text>
    </comment>
    <comment ref="P156" authorId="0" shapeId="0" xr:uid="{CEF7E1E5-BF23-4C34-A293-BF454BF2D1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26/11</t>
        </r>
      </text>
    </comment>
    <comment ref="Q156" authorId="0" shapeId="0" xr:uid="{DD87C273-006A-4874-92BF-A1132C8CAB8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  <comment ref="F157" authorId="0" shapeId="0" xr:uid="{BC18230C-12EE-4EC1-B821-7F1EC661F1B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G157" authorId="0" shapeId="0" xr:uid="{0411B90A-8173-4AAF-B4DB-7337CAEED7B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H157" authorId="0" shapeId="0" xr:uid="{61EA0C2E-B80E-4D4A-8017-2062703535A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19/04</t>
        </r>
      </text>
    </comment>
    <comment ref="I157" authorId="0" shapeId="0" xr:uid="{8300924A-B00A-4564-BADB-56F99030D9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31/05</t>
        </r>
      </text>
    </comment>
    <comment ref="J157" authorId="0" shapeId="0" xr:uid="{2094AC98-D502-4D4E-9BE7-809F4A2019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29/06</t>
        </r>
      </text>
    </comment>
    <comment ref="K157" authorId="0" shapeId="0" xr:uid="{7A468134-FF39-444F-87B8-A27FC0031AC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L157" authorId="0" shapeId="0" xr:uid="{3CE27798-909B-495E-A679-BE9091D211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04/09</t>
        </r>
      </text>
    </comment>
    <comment ref="M157" authorId="0" shapeId="0" xr:uid="{2591FAC2-368F-4D95-8FBD-AF29AE0C41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N157" authorId="0" shapeId="0" xr:uid="{6F438099-E182-43E6-B863-6DE08FB56D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04/11</t>
        </r>
      </text>
    </comment>
    <comment ref="O157" authorId="0" shapeId="0" xr:uid="{CA859814-42BA-49D1-A1E8-863B5F7AA3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P157" authorId="0" shapeId="0" xr:uid="{088DFA66-8540-4212-8484-812A5A839F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22/12</t>
        </r>
      </text>
    </comment>
    <comment ref="F158" authorId="0" shapeId="0" xr:uid="{8DD7B6FE-15B3-42E8-87E8-8814A9A9B4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14/03</t>
        </r>
      </text>
    </comment>
    <comment ref="G158" authorId="0" shapeId="0" xr:uid="{BF03CD01-A542-4EA0-B4CA-B7FF76A4E8B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09/04</t>
        </r>
      </text>
    </comment>
    <comment ref="H158" authorId="0" shapeId="0" xr:uid="{6E6C891B-2ADF-4D74-A949-B0D05C89328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I158" authorId="0" shapeId="0" xr:uid="{830FDAC8-A364-4951-8FE3-495761BCAB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17/06</t>
        </r>
      </text>
    </comment>
    <comment ref="J158" authorId="0" shapeId="0" xr:uid="{6137F3D8-4A79-47D3-BC65-768F15F4D61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13/08</t>
        </r>
      </text>
    </comment>
    <comment ref="K158" authorId="0" shapeId="0" xr:uid="{C24CFF96-F56D-4B5D-B6D9-9D2321AB3F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L158" authorId="0" shapeId="0" xr:uid="{5F6C4F48-2E76-4854-BCD2-ACA1E8841ED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16/09</t>
        </r>
      </text>
    </comment>
    <comment ref="M158" authorId="0" shapeId="0" xr:uid="{7E0E2E30-519F-4932-8C06-DBA43A08983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12/11</t>
        </r>
      </text>
    </comment>
    <comment ref="N158" authorId="0" shapeId="0" xr:uid="{FF2EE6A3-6E85-4CC8-BAF5-58F492A438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O158" authorId="0" shapeId="0" xr:uid="{E84AD069-7957-4C1C-AC7F-DEE8BE19DE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23/12</t>
        </r>
      </text>
    </comment>
    <comment ref="P158" authorId="0" shapeId="0" xr:uid="{8E1C39A2-9D19-4641-9CD1-21DDEECC32D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23/12</t>
        </r>
      </text>
    </comment>
    <comment ref="F159" authorId="0" shapeId="0" xr:uid="{27F0B696-82FE-4EA5-8AA8-DD90DFD5842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30/01</t>
        </r>
      </text>
    </comment>
    <comment ref="G159" authorId="0" shapeId="0" xr:uid="{5D1B1029-6F03-44E3-BCBF-7C989721E9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59" authorId="0" shapeId="0" xr:uid="{676F127A-AE09-443A-A755-A7B30B25341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26/03</t>
        </r>
      </text>
    </comment>
    <comment ref="I159" authorId="0" shapeId="0" xr:uid="{777BEE73-DD3C-4384-9D47-14A4F106BDA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28/04</t>
        </r>
      </text>
    </comment>
    <comment ref="J159" authorId="0" shapeId="0" xr:uid="{3664C23C-2FA8-4B60-B2AE-23A59060F1B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K159" authorId="0" shapeId="0" xr:uid="{7D880EDB-0E1F-4C85-875E-5BBF9879A0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24/06</t>
        </r>
      </text>
    </comment>
    <comment ref="L159" authorId="0" shapeId="0" xr:uid="{E75C2409-5805-41D5-99D9-6FD229F1EA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16/07</t>
        </r>
      </text>
    </comment>
    <comment ref="M159" authorId="0" shapeId="0" xr:uid="{0C6F7759-9018-4E24-A8DD-B87E925721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25/08</t>
        </r>
      </text>
    </comment>
    <comment ref="N159" authorId="0" shapeId="0" xr:uid="{56CD1BFE-5FBA-4F22-865A-8F08CF87D7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02/11</t>
        </r>
      </text>
    </comment>
    <comment ref="O159" authorId="0" shapeId="0" xr:uid="{1A77FA7C-18F5-4621-BCEE-14F126ADE22A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04/01</t>
        </r>
      </text>
    </comment>
    <comment ref="F160" authorId="0" shapeId="0" xr:uid="{0689C6A1-3603-4227-B622-98F423F5B6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25/01</t>
        </r>
      </text>
    </comment>
    <comment ref="G160" authorId="0" shapeId="0" xr:uid="{E6DDA245-60EF-44A8-8828-0661017C73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60" authorId="0" shapeId="0" xr:uid="{9C832155-A397-44AB-B1EA-36D42D3A53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19/03</t>
        </r>
      </text>
    </comment>
    <comment ref="I160" authorId="0" shapeId="0" xr:uid="{D010A2F3-1B65-4FC6-AD69-25A323DD486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J160" authorId="0" shapeId="0" xr:uid="{DD21090D-25F3-46F8-8341-5C064FDAFA1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160" authorId="0" shapeId="0" xr:uid="{1BEA726B-C932-40DA-9080-B9169AF7F0F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160" authorId="0" shapeId="0" xr:uid="{D67B6005-ABE9-477D-A28A-3C4E237F6C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60" authorId="0" shapeId="0" xr:uid="{3AC827F4-49AE-4D02-A6D5-F3AA1A527C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20/08</t>
        </r>
      </text>
    </comment>
    <comment ref="N160" authorId="0" shapeId="0" xr:uid="{A7310E3C-DB42-4C77-AF99-A480C57FF83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17/09</t>
        </r>
      </text>
    </comment>
    <comment ref="O160" authorId="0" shapeId="0" xr:uid="{15EF7BDF-39DF-48E4-8564-0F4F7B2FAE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25/10</t>
        </r>
      </text>
    </comment>
    <comment ref="P160" authorId="0" shapeId="0" xr:uid="{26399432-0948-4CDD-96C8-D10A19F27B9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22/11 S/387.00</t>
        </r>
      </text>
    </comment>
    <comment ref="Q160" authorId="0" shapeId="0" xr:uid="{12156965-29D6-4190-94C1-A66A75A3F7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 S/300.00 Cochera Dic25
16/12 S/382.00
16/12 S/300.00 Cochera Ene26</t>
        </r>
      </text>
    </comment>
    <comment ref="G161" authorId="0" shapeId="0" xr:uid="{E1EF5350-A9BC-4C52-8CE6-DA04DF931F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04/03</t>
        </r>
      </text>
    </comment>
    <comment ref="H161" authorId="0" shapeId="0" xr:uid="{9A90B5BD-CEE8-4FDB-8BD8-8BB84FF081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06/04</t>
        </r>
      </text>
    </comment>
    <comment ref="I161" authorId="0" shapeId="0" xr:uid="{7AF82100-CC79-4AC0-AC62-5966105832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06/05</t>
        </r>
      </text>
    </comment>
    <comment ref="J161" authorId="0" shapeId="0" xr:uid="{85F4756C-DC8B-4454-9EA0-4E1FA5866E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10/06</t>
        </r>
      </text>
    </comment>
    <comment ref="K161" authorId="0" shapeId="0" xr:uid="{F35A1765-46A8-45A9-9094-40009C14FB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10/07</t>
        </r>
      </text>
    </comment>
    <comment ref="M161" authorId="0" shapeId="0" xr:uid="{C91092C1-2D62-4DE2-BAC4-C6975B0DC8A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26/08</t>
        </r>
      </text>
    </comment>
    <comment ref="N161" authorId="0" shapeId="0" xr:uid="{3D6ADCE3-A848-46EA-9EC9-BB1DDD900C7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08/10</t>
        </r>
      </text>
    </comment>
    <comment ref="P161" authorId="0" shapeId="0" xr:uid="{951A8965-456D-4909-9403-DD4AD40E24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29/11</t>
        </r>
      </text>
    </comment>
    <comment ref="F162" authorId="0" shapeId="0" xr:uid="{3CBE82A0-985D-4021-BF98-DDDECD0C4AA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62" authorId="0" shapeId="0" xr:uid="{7133CE82-9BD7-4C2C-8EA2-A71515BF7BF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11/04</t>
        </r>
      </text>
    </comment>
    <comment ref="J162" authorId="0" shapeId="0" xr:uid="{5EDDB854-90D2-4B5F-84DF-85A73CB3C7C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K162" authorId="0" shapeId="0" xr:uid="{DE8D7C78-23E6-4A50-BDA2-2DF17EF746C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14/07</t>
        </r>
      </text>
    </comment>
    <comment ref="P162" authorId="0" shapeId="0" xr:uid="{A10F80DA-ADCC-400B-A44D-F3176081A7D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G163" authorId="0" shapeId="0" xr:uid="{0FD4C490-F0B1-4AD2-8AB7-F952BC3F442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03/03</t>
        </r>
      </text>
    </comment>
    <comment ref="H163" authorId="0" shapeId="0" xr:uid="{97F06AE2-681A-4EB7-B8FC-AD437BFC26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163" authorId="0" shapeId="0" xr:uid="{8D6CFB7C-DE74-4587-B9CB-35F95DA961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30/04</t>
        </r>
      </text>
    </comment>
    <comment ref="J163" authorId="0" shapeId="0" xr:uid="{E0D5F24A-E097-4BA4-8AD1-F88AFA4234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10/06</t>
        </r>
      </text>
    </comment>
    <comment ref="L163" authorId="0" shapeId="0" xr:uid="{90526660-BDFF-41C8-901D-3A4D3AE6DF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29/07</t>
        </r>
      </text>
    </comment>
    <comment ref="M163" authorId="0" shapeId="0" xr:uid="{98F6B39A-2549-40F7-A921-0EAE609D723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01/09</t>
        </r>
      </text>
    </comment>
    <comment ref="N163" authorId="0" shapeId="0" xr:uid="{3A6A84C1-EBA1-434B-8CEF-6E857EA377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19/09</t>
        </r>
      </text>
    </comment>
    <comment ref="O163" authorId="0" shapeId="0" xr:uid="{EA4601ED-36F7-46BF-9DA8-7BF04F41D35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05/11</t>
        </r>
      </text>
    </comment>
    <comment ref="P163" authorId="0" shapeId="0" xr:uid="{ED67A56D-D552-41D3-84B9-19C1E769A6A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30/11</t>
        </r>
      </text>
    </comment>
    <comment ref="G164" authorId="0" shapeId="0" xr:uid="{ADF1A4A7-02B6-47BC-BB3C-662471EE45C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H164" authorId="0" shapeId="0" xr:uid="{CCB9C33C-38AC-483D-9867-1F200E98A8C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21/04</t>
        </r>
      </text>
    </comment>
    <comment ref="I164" authorId="0" shapeId="0" xr:uid="{0799165D-17BA-41C8-8F55-F3A7958D7F7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19/05</t>
        </r>
      </text>
    </comment>
    <comment ref="J164" authorId="0" shapeId="0" xr:uid="{2214AB6F-BFB2-4FA2-9C3A-78598F31DE6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24/07</t>
        </r>
      </text>
    </comment>
    <comment ref="K164" authorId="0" shapeId="0" xr:uid="{9300CDFA-ADA6-4992-BBAD-685255A86C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25/08</t>
        </r>
      </text>
    </comment>
    <comment ref="L164" authorId="0" shapeId="0" xr:uid="{B29A2237-7E35-4BC1-86E1-C17F2FE7E5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14/10</t>
        </r>
      </text>
    </comment>
    <comment ref="M164" authorId="0" shapeId="0" xr:uid="{F065BD38-D31C-4E16-BC1C-3653A61A05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28/10</t>
        </r>
      </text>
    </comment>
    <comment ref="N164" authorId="0" shapeId="0" xr:uid="{89C98AA7-3629-40D5-81E8-5ECA1DA831C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25/11</t>
        </r>
      </text>
    </comment>
    <comment ref="O164" authorId="0" shapeId="0" xr:uid="{7166E9FE-9288-4E64-9E7F-5D89417F28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24/12</t>
        </r>
      </text>
    </comment>
    <comment ref="G165" authorId="0" shapeId="0" xr:uid="{6D8E12D2-C355-4159-9C99-AB26A2728EB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24/02</t>
        </r>
      </text>
    </comment>
    <comment ref="H165" authorId="0" shapeId="0" xr:uid="{9ABE948A-3D46-4388-8892-C9EFE1267C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27/03</t>
        </r>
      </text>
    </comment>
    <comment ref="I165" authorId="0" shapeId="0" xr:uid="{64442854-7FA5-4C29-81A0-C3C108FCF15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28/06</t>
        </r>
      </text>
    </comment>
    <comment ref="L165" authorId="0" shapeId="0" xr:uid="{8BFC6420-D280-4D44-A9AC-67CAB840C9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01/08</t>
        </r>
      </text>
    </comment>
    <comment ref="N165" authorId="0" shapeId="0" xr:uid="{74741E55-925C-42FA-8B61-0FB62D0DC67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26/09</t>
        </r>
      </text>
    </comment>
    <comment ref="O165" authorId="0" shapeId="0" xr:uid="{B447DE4C-502E-4067-85A9-E0DA358581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04/11</t>
        </r>
      </text>
    </comment>
    <comment ref="Q165" authorId="0" shapeId="0" xr:uid="{31C64E79-8975-4969-998D-AB801A64C256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31/12</t>
        </r>
      </text>
    </comment>
    <comment ref="F166" authorId="0" shapeId="0" xr:uid="{44D0C047-1E3B-4794-8E4D-3866AC15E7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02/05</t>
        </r>
      </text>
    </comment>
    <comment ref="H166" authorId="0" shapeId="0" xr:uid="{7F50D040-255C-4662-B839-D74A3BFBDDD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J166" authorId="0" shapeId="0" xr:uid="{7CB98423-497F-4ED3-84B2-2CB8F5A8A18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26/07</t>
        </r>
      </text>
    </comment>
    <comment ref="K166" authorId="0" shapeId="0" xr:uid="{EB128195-5D04-46B8-88D3-2A890052A6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03/09</t>
        </r>
      </text>
    </comment>
    <comment ref="L166" authorId="0" shapeId="0" xr:uid="{C804F26B-2F41-4A5A-8695-79298FC6F74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07/10</t>
        </r>
      </text>
    </comment>
    <comment ref="M166" authorId="0" shapeId="0" xr:uid="{40D0B39C-07E3-4135-80C9-6171813CFC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21/11
</t>
        </r>
      </text>
    </comment>
    <comment ref="N166" authorId="0" shapeId="0" xr:uid="{0D48450A-823A-4DBC-A21D-26D91AC3350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09/12</t>
        </r>
      </text>
    </comment>
    <comment ref="F167" authorId="0" shapeId="0" xr:uid="{48615007-9733-448B-A76A-3A9B400C896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167" authorId="0" shapeId="0" xr:uid="{84A947E0-7568-43DF-9DC4-4FE2FF3A05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01/03</t>
        </r>
      </text>
    </comment>
    <comment ref="H167" authorId="0" shapeId="0" xr:uid="{7168CBA6-1333-4C35-9B35-0B72D0B505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29/03</t>
        </r>
      </text>
    </comment>
    <comment ref="I167" authorId="0" shapeId="0" xr:uid="{7A0F1265-F304-4B92-9701-C9159D9AA5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06/05</t>
        </r>
      </text>
    </comment>
    <comment ref="J167" authorId="0" shapeId="0" xr:uid="{AEA0257D-A0B6-45C8-B839-DF08304177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26/05</t>
        </r>
      </text>
    </comment>
    <comment ref="K167" authorId="0" shapeId="0" xr:uid="{317BFF05-8EBA-4716-A0A1-6722CFE2E7E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26/01</t>
        </r>
      </text>
    </comment>
    <comment ref="L167" authorId="0" shapeId="0" xr:uid="{BA5CDF92-FD61-4536-8A0F-1DCE24F9DE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25/07</t>
        </r>
      </text>
    </comment>
    <comment ref="M167" authorId="0" shapeId="0" xr:uid="{C3E67459-2928-4E55-8FA4-BAA596A2F6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29/08</t>
        </r>
      </text>
    </comment>
    <comment ref="N167" authorId="0" shapeId="0" xr:uid="{B3905A7E-01B1-417C-9A8D-FEDE2790AF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26/09</t>
        </r>
      </text>
    </comment>
    <comment ref="O167" authorId="0" shapeId="0" xr:uid="{FD37824C-B918-4E57-87D2-DAFEFD853CB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P167" authorId="0" shapeId="0" xr:uid="{885074E7-16DF-4868-BF52-A194EE83D7D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28/11</t>
        </r>
      </text>
    </comment>
    <comment ref="F168" authorId="0" shapeId="0" xr:uid="{CF6BA5C5-19A1-4304-A27C-1F18CC4930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G168" authorId="0" shapeId="0" xr:uid="{40A917DA-C98C-4CB6-84A0-F99833D72F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02/09 S/100.00
02/09 S/500.00</t>
        </r>
      </text>
    </comment>
    <comment ref="H168" authorId="0" shapeId="0" xr:uid="{63B98BE9-1B7E-4286-AEE3-C8E6BD7E28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03/10 S/300.00
03/10 S/300.00</t>
        </r>
      </text>
    </comment>
    <comment ref="I168" authorId="0" shapeId="0" xr:uid="{309C7CC8-FABF-4840-B0D6-7F267268C1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05/11 S/300.00
05/11 S/300.00</t>
        </r>
      </text>
    </comment>
    <comment ref="J168" authorId="0" shapeId="0" xr:uid="{34F643F8-54A2-4D6E-BD51-58C4FE4010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02/12 S/300.00
03/12 S/300.00</t>
        </r>
      </text>
    </comment>
    <comment ref="G169" authorId="0" shapeId="0" xr:uid="{BE824C23-DBA8-41D3-BA6A-6F7E8CED9B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15/05</t>
        </r>
      </text>
    </comment>
    <comment ref="H169" authorId="0" shapeId="0" xr:uid="{E6E8F19F-4690-430E-834F-1D3C51D3C1E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29/05</t>
        </r>
      </text>
    </comment>
    <comment ref="I169" authorId="0" shapeId="0" xr:uid="{D7700880-829B-4FF0-B008-E1BF54B369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30/05</t>
        </r>
      </text>
    </comment>
    <comment ref="J169" authorId="0" shapeId="0" xr:uid="{29323FB9-8CFF-4078-8B33-69CA91B697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09/08</t>
        </r>
      </text>
    </comment>
    <comment ref="K169" authorId="0" shapeId="0" xr:uid="{D0A073BF-E08F-4ED9-89B1-8F9EF266537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11/08</t>
        </r>
      </text>
    </comment>
    <comment ref="G170" authorId="0" shapeId="0" xr:uid="{81C955FB-D901-4813-BE34-7EEBC0A20C1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19/92</t>
        </r>
      </text>
    </comment>
    <comment ref="H170" authorId="0" shapeId="0" xr:uid="{1DF83055-2C68-4F10-B1FB-DCC878B790F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I170" authorId="0" shapeId="0" xr:uid="{73DCF2DF-A429-4A7B-A44E-D45C1FC889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15/05</t>
        </r>
      </text>
    </comment>
    <comment ref="J170" authorId="0" shapeId="0" xr:uid="{EDA83ECE-CBD8-48D2-9D5B-84848CD05C9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14/07</t>
        </r>
      </text>
    </comment>
    <comment ref="K170" authorId="0" shapeId="0" xr:uid="{42FA3311-6F8C-42CA-BEF1-810CB18C9F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07/08</t>
        </r>
      </text>
    </comment>
    <comment ref="L170" authorId="0" shapeId="0" xr:uid="{9CC0D11B-F0C3-407C-9395-B580379910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13/08</t>
        </r>
      </text>
    </comment>
    <comment ref="M170" authorId="0" shapeId="0" xr:uid="{691FFE8E-9120-40B3-A5E5-700228768A7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11/09</t>
        </r>
      </text>
    </comment>
    <comment ref="N170" authorId="0" shapeId="0" xr:uid="{817E62DF-C96F-4C83-B445-F4D8A90AE5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05/10</t>
        </r>
      </text>
    </comment>
    <comment ref="P170" authorId="0" shapeId="0" xr:uid="{BC7CB16A-1A1B-44DD-9A6F-85F342C2083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02/12</t>
        </r>
      </text>
    </comment>
    <comment ref="F171" authorId="0" shapeId="0" xr:uid="{AB72D331-3CE1-4709-8D3D-AF842F930E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G171" authorId="0" shapeId="0" xr:uid="{408827A6-C5E8-4974-9DC1-21EF03723E7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18/02</t>
        </r>
      </text>
    </comment>
    <comment ref="H171" authorId="0" shapeId="0" xr:uid="{B6AE886F-6CC5-499E-A3EB-78C5A83297D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I171" authorId="0" shapeId="0" xr:uid="{E8297273-169B-4A58-AAEA-38612269F0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16/04</t>
        </r>
      </text>
    </comment>
    <comment ref="J171" authorId="0" shapeId="0" xr:uid="{92B0D743-76AC-437B-90D1-347A9FA634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171" authorId="0" shapeId="0" xr:uid="{762485E0-8FDE-496C-A4DD-60B3D44F401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18/06</t>
        </r>
      </text>
    </comment>
    <comment ref="L171" authorId="0" shapeId="0" xr:uid="{1A113EF3-D028-4D0C-B803-C119D91ACBD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71" authorId="0" shapeId="0" xr:uid="{15C99880-70E1-44DF-B355-BEAA0AEC85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16/08</t>
        </r>
      </text>
    </comment>
    <comment ref="N171" authorId="0" shapeId="0" xr:uid="{F82A060F-6BD7-4F5E-BE18-26EE41E5AAD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18/09</t>
        </r>
      </text>
    </comment>
    <comment ref="O171" authorId="0" shapeId="0" xr:uid="{AF7E89DB-45A5-455D-8D2D-CF24A5685C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17/10</t>
        </r>
      </text>
    </comment>
    <comment ref="P171" authorId="0" shapeId="0" xr:uid="{DB04D1CA-AAD3-4715-A670-E573B09E324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18/11</t>
        </r>
      </text>
    </comment>
    <comment ref="Q171" authorId="0" shapeId="0" xr:uid="{F32284F4-4DD8-485F-99D4-0C53D74016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18/12</t>
        </r>
      </text>
    </comment>
    <comment ref="I172" authorId="0" shapeId="0" xr:uid="{65D151F2-07CB-46D0-A780-733DDD32B725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30/12</t>
        </r>
      </text>
    </comment>
    <comment ref="F173" authorId="0" shapeId="0" xr:uid="{07E243B0-4B11-4DD6-B517-28B92B28CF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17/01</t>
        </r>
      </text>
    </comment>
    <comment ref="H173" authorId="0" shapeId="0" xr:uid="{8B51DC7F-2F21-4E2A-884D-BA9DEBF12A4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18/03</t>
        </r>
      </text>
    </comment>
    <comment ref="J173" authorId="0" shapeId="0" xr:uid="{87DBCAC0-751C-48BB-84EE-591D4FC765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16/05</t>
        </r>
      </text>
    </comment>
    <comment ref="K173" authorId="0" shapeId="0" xr:uid="{8C0ACA48-041A-4A40-874A-82EB18B003D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20/06</t>
        </r>
      </text>
    </comment>
    <comment ref="L173" authorId="0" shapeId="0" xr:uid="{199E7396-20D9-49B7-B5DB-53A30D01B2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18/07</t>
        </r>
      </text>
    </comment>
    <comment ref="M173" authorId="0" shapeId="0" xr:uid="{082B7E8F-0411-4694-BB63-B7BFC4478B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18/08</t>
        </r>
      </text>
    </comment>
    <comment ref="N173" authorId="0" shapeId="0" xr:uid="{64BC12A2-8C4C-488F-97C7-6697A69BE27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25/09</t>
        </r>
      </text>
    </comment>
    <comment ref="O173" authorId="0" shapeId="0" xr:uid="{D6A88503-CFB4-41AC-8B06-A473BE53F7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P173" authorId="0" shapeId="0" xr:uid="{B6627F3F-2FDF-4D2A-892D-11E93759B41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15/12</t>
        </r>
      </text>
    </comment>
    <comment ref="Q173" authorId="0" shapeId="0" xr:uid="{40AD2F7E-9258-4F73-87E0-7E8F50BD605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19/12</t>
        </r>
      </text>
    </comment>
    <comment ref="F174" authorId="0" shapeId="0" xr:uid="{34A72341-D14A-44BD-B1DD-C332EEEC7EF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03/02</t>
        </r>
      </text>
    </comment>
    <comment ref="G174" authorId="0" shapeId="0" xr:uid="{EDF309AA-3673-4869-BF6C-3474486885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06/03</t>
        </r>
      </text>
    </comment>
    <comment ref="H174" authorId="0" shapeId="0" xr:uid="{A402659F-4B7F-4AEA-8137-B3D5D72F590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07/04 </t>
        </r>
      </text>
    </comment>
    <comment ref="I174" authorId="0" shapeId="0" xr:uid="{84E1BC3C-38D5-40E7-9580-240E0C2CF8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05/05</t>
        </r>
      </text>
    </comment>
    <comment ref="J174" authorId="0" shapeId="0" xr:uid="{22B59E9D-4C1D-413D-996E-A4B0415B49A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05/06</t>
        </r>
      </text>
    </comment>
    <comment ref="K174" authorId="0" shapeId="0" xr:uid="{0AFC4AC8-C70E-4758-9A87-1269948C56B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07/07</t>
        </r>
      </text>
    </comment>
    <comment ref="L174" authorId="0" shapeId="0" xr:uid="{D2F60D23-87B0-4B4C-B3F6-4748C3CEB1D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M174" authorId="0" shapeId="0" xr:uid="{82AF8309-17A4-4632-8465-F16082C899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N174" authorId="0" shapeId="0" xr:uid="{D4CE4698-3696-4566-ABCD-746DE220528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Q174" authorId="0" shapeId="0" xr:uid="{1B7B7C3D-8B8D-44D1-88BA-F5443EE5F7B8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04/01</t>
        </r>
      </text>
    </comment>
    <comment ref="F175" authorId="0" shapeId="0" xr:uid="{26A34362-5A09-4D5A-8F45-33958DC689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05/02</t>
        </r>
      </text>
    </comment>
    <comment ref="G175" authorId="0" shapeId="0" xr:uid="{A379B1BB-0EED-484D-A453-15BBFA2411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M175" authorId="0" shapeId="0" xr:uid="{D08D0A9C-DF69-41BC-952C-60FD70D79C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04/09</t>
        </r>
      </text>
    </comment>
    <comment ref="Q175" authorId="0" shapeId="0" xr:uid="{EBFA1135-84C8-4F26-88C9-7EF99EA29D0B}">
      <text>
        <r>
          <rPr>
            <b/>
            <sz val="9"/>
            <color indexed="81"/>
            <rFont val="Tahoma"/>
            <charset val="1"/>
          </rPr>
          <t>Energía Renovable Perú:</t>
        </r>
        <r>
          <rPr>
            <sz val="9"/>
            <color indexed="81"/>
            <rFont val="Tahoma"/>
            <charset val="1"/>
          </rPr>
          <t xml:space="preserve">
31/12 S/1,292.33
31/12 S/600.00</t>
        </r>
      </text>
    </comment>
    <comment ref="F176" authorId="0" shapeId="0" xr:uid="{E578DB47-EE78-48C6-A031-32C98053D0D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19/02</t>
        </r>
      </text>
    </comment>
    <comment ref="H176" authorId="0" shapeId="0" xr:uid="{32A8352B-9DE5-425E-BD17-9EDC767BD7F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31/03</t>
        </r>
      </text>
    </comment>
    <comment ref="I176" authorId="0" shapeId="0" xr:uid="{5069F879-ABE6-4C33-B26D-07D9D0D332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01/05</t>
        </r>
      </text>
    </comment>
    <comment ref="J176" authorId="0" shapeId="0" xr:uid="{3AD05F6A-CFAE-4CB9-9166-D75AE04B46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10/06</t>
        </r>
      </text>
    </comment>
    <comment ref="K176" authorId="0" shapeId="0" xr:uid="{0030C052-BDBD-4432-90DE-391BBC24FC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19/07</t>
        </r>
      </text>
    </comment>
    <comment ref="L176" authorId="0" shapeId="0" xr:uid="{A2EF13D0-3227-418B-9E3F-1012A6A0215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03/08</t>
        </r>
      </text>
    </comment>
    <comment ref="M176" authorId="0" shapeId="0" xr:uid="{4BDF1D1F-36ED-4D1D-8BBE-26A9F2090E7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30/08</t>
        </r>
      </text>
    </comment>
    <comment ref="N176" authorId="0" shapeId="0" xr:uid="{221D5107-9ABB-43AA-A7E0-15F441E34EC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30/09</t>
        </r>
      </text>
    </comment>
    <comment ref="O176" authorId="0" shapeId="0" xr:uid="{AB6F9028-4185-444F-BDB7-B93237050A9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04/11</t>
        </r>
      </text>
    </comment>
    <comment ref="P176" authorId="0" shapeId="0" xr:uid="{8C770A6D-06C8-4752-8306-01DCF623AA3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14/12</t>
        </r>
      </text>
    </comment>
    <comment ref="F177" authorId="0" shapeId="0" xr:uid="{8AE266C3-862C-4224-95F7-817DD8CC544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21/01</t>
        </r>
      </text>
    </comment>
    <comment ref="G177" authorId="0" shapeId="0" xr:uid="{0E440498-FBB1-4C6F-97EB-FC02BAFAA23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20/02</t>
        </r>
      </text>
    </comment>
    <comment ref="H177" authorId="0" shapeId="0" xr:uid="{DBD80857-5432-4558-A95D-D4817C3B61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22/03</t>
        </r>
      </text>
    </comment>
    <comment ref="I177" authorId="0" shapeId="0" xr:uid="{3A5D6FB5-6C2A-4F2A-B460-06D0A1EED8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20/04</t>
        </r>
      </text>
    </comment>
    <comment ref="J177" authorId="0" shapeId="0" xr:uid="{8C7D42BD-6E81-4686-BD25-7B36C63031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20/05</t>
        </r>
      </text>
    </comment>
    <comment ref="K177" authorId="0" shapeId="0" xr:uid="{48B4FEA0-AC33-4620-B3F0-A0BB4866F6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21/06</t>
        </r>
      </text>
    </comment>
    <comment ref="L177" authorId="0" shapeId="0" xr:uid="{DB06B3B2-5409-42FB-91F7-131C76BD198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19/07</t>
        </r>
      </text>
    </comment>
    <comment ref="M177" authorId="0" shapeId="0" xr:uid="{73530DD9-65D1-49F0-9C30-1292C3E5586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177" authorId="0" shapeId="0" xr:uid="{D670F2E0-762C-407D-92FD-3211EA4657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21/09</t>
        </r>
      </text>
    </comment>
    <comment ref="O177" authorId="0" shapeId="0" xr:uid="{CE808B93-5CDA-4C02-A3B4-1D35E059C0C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P177" authorId="0" shapeId="0" xr:uid="{3543ECDC-12D0-48CE-81D6-72531E49022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25/11</t>
        </r>
      </text>
    </comment>
    <comment ref="Q177" authorId="0" shapeId="0" xr:uid="{FB21B4DB-E2B2-4EED-B854-A11D56549A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22/12</t>
        </r>
      </text>
    </comment>
    <comment ref="F178" authorId="0" shapeId="0" xr:uid="{E64A99B0-3A95-4D47-977B-56E32EEA462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09/02</t>
        </r>
      </text>
    </comment>
    <comment ref="G178" authorId="0" shapeId="0" xr:uid="{D6551A7C-2570-43DA-ABB2-F498E8CF99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08/03</t>
        </r>
      </text>
    </comment>
    <comment ref="H178" authorId="0" shapeId="0" xr:uid="{59D91A34-AD00-41B7-AAE1-64CA7AF8F1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I178" authorId="0" shapeId="0" xr:uid="{DE55F803-9CD2-4417-BCF7-B6176D3E4DA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22/04</t>
        </r>
      </text>
    </comment>
    <comment ref="J178" authorId="0" shapeId="0" xr:uid="{EA3F61B0-D79A-4EFA-BD3B-9124DD0147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24/05</t>
        </r>
      </text>
    </comment>
    <comment ref="K178" authorId="0" shapeId="0" xr:uid="{37DFFFFF-9396-48BA-B4D0-E134156AFFA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26/06</t>
        </r>
      </text>
    </comment>
    <comment ref="L178" authorId="0" shapeId="0" xr:uid="{17A6DBCA-56F4-4B25-933B-DAC1DE97B41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28/07</t>
        </r>
      </text>
    </comment>
    <comment ref="M178" authorId="0" shapeId="0" xr:uid="{583C12DE-3537-4B7F-877F-7E3F185D3D0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19/08</t>
        </r>
      </text>
    </comment>
    <comment ref="N178" authorId="0" shapeId="0" xr:uid="{D3FACE08-77A5-448D-A3F5-8688CD7074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25/09</t>
        </r>
      </text>
    </comment>
    <comment ref="O178" authorId="0" shapeId="0" xr:uid="{CDD75BB0-B31D-4B26-A3BA-16999A349A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21/10</t>
        </r>
      </text>
    </comment>
    <comment ref="H179" authorId="0" shapeId="0" xr:uid="{7A21876B-9174-45F6-8D46-4C16A2CC59A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19/11</t>
        </r>
      </text>
    </comment>
    <comment ref="G180" authorId="0" shapeId="0" xr:uid="{4CFB55D8-2461-464F-B87A-62B9F46B9ED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02/04</t>
        </r>
      </text>
    </comment>
    <comment ref="I180" authorId="0" shapeId="0" xr:uid="{C360D8D1-494C-4B3D-84D2-2105D0EE1A5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31/05</t>
        </r>
      </text>
    </comment>
    <comment ref="L180" authorId="0" shapeId="0" xr:uid="{EB9CDA22-DCC7-48F9-B42E-5045017BF68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22/07</t>
        </r>
      </text>
    </comment>
    <comment ref="M180" authorId="0" shapeId="0" xr:uid="{ED4E2836-2825-497C-B0E0-62448EE8D8F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10/09</t>
        </r>
      </text>
    </comment>
    <comment ref="N180" authorId="0" shapeId="0" xr:uid="{8386D002-F0BD-4DEC-B016-C8129761421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11/10</t>
        </r>
      </text>
    </comment>
    <comment ref="O180" authorId="0" shapeId="0" xr:uid="{DF187511-9D62-4646-8E17-2F53FAA22C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13/11</t>
        </r>
      </text>
    </comment>
    <comment ref="P180" authorId="0" shapeId="0" xr:uid="{5484565A-676F-43B0-B826-2AE3D6FEDD2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14/12</t>
        </r>
      </text>
    </comment>
    <comment ref="F181" authorId="0" shapeId="0" xr:uid="{3E130A6B-F85A-4191-9F44-A4EDBA75B0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05/02 </t>
        </r>
      </text>
    </comment>
    <comment ref="G181" authorId="0" shapeId="0" xr:uid="{CE34F8F8-4737-41C8-B4CB-3A4DFD941BA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02/03</t>
        </r>
      </text>
    </comment>
    <comment ref="H181" authorId="0" shapeId="0" xr:uid="{56DA3DA9-2F7F-438F-A2A2-F3F02DAF86B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01/04</t>
        </r>
      </text>
    </comment>
    <comment ref="I181" authorId="0" shapeId="0" xr:uid="{6A6BC3CB-18E9-4AEA-B63A-386B34FF394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01/05</t>
        </r>
      </text>
    </comment>
    <comment ref="J181" authorId="0" shapeId="0" xr:uid="{9A106368-7820-411F-8264-F2EFA756EB5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02/06</t>
        </r>
      </text>
    </comment>
    <comment ref="K181" authorId="0" shapeId="0" xr:uid="{A20C0489-F03F-41F4-9247-159EDB5FE5B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01/07</t>
        </r>
      </text>
    </comment>
    <comment ref="L181" authorId="0" shapeId="0" xr:uid="{28DC4706-BC97-41C8-B5AC-E5C24BDAFAA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04/08</t>
        </r>
      </text>
    </comment>
    <comment ref="N181" authorId="0" shapeId="0" xr:uid="{7410E879-E8AA-41E4-B9A9-5A2E3166C4B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01/10</t>
        </r>
      </text>
    </comment>
    <comment ref="O181" authorId="0" shapeId="0" xr:uid="{7785B9CE-76D7-49B5-AA77-290F98DE09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01/11</t>
        </r>
      </text>
    </comment>
    <comment ref="P181" authorId="0" shapeId="0" xr:uid="{FB5505D5-83BF-4213-9EA7-ED3F37B15D2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01/12</t>
        </r>
      </text>
    </comment>
    <comment ref="G182" authorId="0" shapeId="0" xr:uid="{2361AC4F-F8F0-4DC7-923F-D0D634D817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14/05</t>
        </r>
      </text>
    </comment>
    <comment ref="I182" authorId="0" shapeId="0" xr:uid="{71D9EE66-AA69-475B-A251-FCE62F73C1A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14/06
</t>
        </r>
      </text>
    </comment>
    <comment ref="J182" authorId="0" shapeId="0" xr:uid="{65352716-4109-4C69-9FD9-2071F4D5FD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16/07</t>
        </r>
      </text>
    </comment>
    <comment ref="K182" authorId="0" shapeId="0" xr:uid="{EBD00EBE-0690-493B-9317-3714E78706F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05/08</t>
        </r>
      </text>
    </comment>
    <comment ref="L182" authorId="0" shapeId="0" xr:uid="{B7269782-E502-41D7-9ECB-DC68CE98FA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08/09</t>
        </r>
      </text>
    </comment>
    <comment ref="M182" authorId="0" shapeId="0" xr:uid="{8327C98F-9BB5-46FC-8974-670A776BE4A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07/10</t>
        </r>
      </text>
    </comment>
    <comment ref="N182" authorId="0" shapeId="0" xr:uid="{9784E53E-4338-4858-B6E3-76B3AC9DC6C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12/11</t>
        </r>
      </text>
    </comment>
    <comment ref="P182" authorId="0" shapeId="0" xr:uid="{DD08E73A-63DA-4673-8B04-FE703A189FB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16/12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4" authorId="0" shapeId="0" xr:uid="{712DA3D0-59E6-4F8F-9250-AC314FAF244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" authorId="0" shapeId="0" xr:uid="{9DB68B3C-1330-43C1-B31A-E0D9F70057D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" authorId="0" shapeId="0" xr:uid="{10014DA4-B910-4A6A-BE0A-D29F773FEFB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0" authorId="0" shapeId="0" xr:uid="{CF7E3AAC-99DB-47CF-AC88-A489C45E0A6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Pintado de Pared Parque 
A502 pintará la pared c/u ahora es S/60.00 se devuelve 37.50 al C503</t>
        </r>
      </text>
    </comment>
    <comment ref="K24" authorId="0" shapeId="0" xr:uid="{7733C8A7-7375-4E42-A1A7-CCF4911EB9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1" authorId="0" shapeId="0" xr:uid="{10649505-DF36-4F14-A342-F877B418777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41" authorId="0" shapeId="0" xr:uid="{89EC5DD1-9483-41C0-9A51-08FF4AF01A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52" authorId="0" shapeId="0" xr:uid="{489CC732-475C-4233-AE2D-AAC7DE8F9B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1" authorId="0" shapeId="0" xr:uid="{BD818DE1-EEB5-4070-B048-185452BB47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147B90BE-8EF1-4A91-AB35-660EA6A0923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1" authorId="0" shapeId="0" xr:uid="{7F6AB8D1-AC84-46BA-86B2-78ECD0F85E4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7" authorId="0" shapeId="0" xr:uid="{9AAD8CFE-5AA7-42A9-A9C9-22955C96E78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8" authorId="0" shapeId="0" xr:uid="{3499CBC8-44B9-4AF2-92C6-851E2E01B61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48" authorId="0" shapeId="0" xr:uid="{724FD166-B493-43DC-9F3D-6031118AB0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5" authorId="0" shapeId="0" xr:uid="{1A386CEF-627F-473E-850B-7900E5AC20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2" authorId="0" shapeId="0" xr:uid="{50E4CD00-8D5F-4393-B4F5-E932220126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4" authorId="0" shapeId="0" xr:uid="{01E204D5-FE86-4DFB-BF6A-5D0718FCD5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3EC2D418-43FB-48EC-8D3A-A2109F8C7E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7C734325-10AF-4D96-851A-E1ABE7A0C9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9" authorId="0" shapeId="0" xr:uid="{3C2F285D-2BE1-4314-AC3E-CC3545C1B6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9EA0BEFB-E3AD-4640-9384-E58BD59A64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4" authorId="0" shapeId="0" xr:uid="{D86B9DC1-396E-42CF-AA94-B5B70D38751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9547F527-26FD-47CE-8418-9BF6B8CC85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E188" authorId="1" shapeId="0" xr:uid="{C154DF81-F8E3-4F92-827D-8EC67EE4C0A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0D47BCDE-BFD7-4455-9DCF-241F7EB27CE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5CBFA1EA-20F3-4DC6-8DEF-CEEAB2B3C482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FCF1CA1B-93DC-48F8-A221-B4E5E4A4CADD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11" authorId="0" shapeId="0" xr:uid="{16B0DC66-906C-4CF8-81B3-867F74DC504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2" authorId="0" shapeId="0" xr:uid="{D6F5D26C-C6B3-429E-BD82-F3CFCEF9A4D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4" authorId="0" shapeId="0" xr:uid="{2BFE749E-6853-4E66-AF67-F2496751D7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9" authorId="0" shapeId="0" xr:uid="{081E5D4A-D374-48F0-87FB-30494C83EA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50" authorId="0" shapeId="0" xr:uid="{ED800370-D14B-4B32-94F0-8ED45E87CDE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52" authorId="0" shapeId="0" xr:uid="{F4DDFFA6-401E-4BA0-8D69-60851B1C21E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1" authorId="0" shapeId="0" xr:uid="{B665F733-9D63-452E-AFA9-B2DBD2A1DE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EC9683DE-9BF1-445A-924B-A0D6CB1C900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1" authorId="0" shapeId="0" xr:uid="{70000404-DD3D-4008-9F28-549899FFA0B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8" authorId="0" shapeId="0" xr:uid="{A95EA484-15B1-49D5-9598-BA1DB91552B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48" authorId="0" shapeId="0" xr:uid="{98253402-6F84-4455-810F-3BDEE6681C8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5" authorId="0" shapeId="0" xr:uid="{0C5BCCBF-0BDD-47A1-BC53-FB65A4C748C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8" authorId="0" shapeId="0" xr:uid="{407ECF3C-3DFC-4F8B-B3D4-D8CA550FF1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2" authorId="0" shapeId="0" xr:uid="{3354ADB3-98B8-4B43-8BFD-137063F261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4" authorId="0" shapeId="0" xr:uid="{8A591C96-D7F6-400F-A8EF-B790021D227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B02EBD39-8B07-4AF3-9B1D-3885E2BA95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9C9260C0-8692-405E-8134-BE2457BECA4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9" authorId="0" shapeId="0" xr:uid="{554E05C7-623D-4B49-AB9E-F59BEDF4698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93212626-517F-4C48-BE36-1E6EE64C361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4" authorId="0" shapeId="0" xr:uid="{60945676-B67B-4EDF-A142-9915AE1594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5BF283E6-7348-4390-8266-0B755E806F9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E188" authorId="1" shapeId="0" xr:uid="{235A8D22-A0D3-4C81-9BC0-92D5BE7F399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B8CCF417-74D7-4023-AAC7-A81D5A4C838E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65808D58-6967-4A3E-A6A9-8A4E6684BC0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0CD5346E-9613-4AF9-BC52-D72449D952EF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  <author>Sergio Portilla</author>
  </authors>
  <commentList>
    <comment ref="K11" authorId="0" shapeId="0" xr:uid="{63D89477-9DA4-43A5-A60C-56FF10E1C33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" authorId="0" shapeId="0" xr:uid="{A3EE4FEF-E343-45BC-90B2-5C4B5A0AE6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4" authorId="0" shapeId="0" xr:uid="{E2112CD9-328A-4477-9472-80D8AC8BE7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1" authorId="0" shapeId="0" xr:uid="{D6422047-8496-46CF-9EAA-764FA7E7667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5" authorId="0" shapeId="0" xr:uid="{DE47582D-AC12-4398-9F13-B53B6DD3F39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9" authorId="0" shapeId="0" xr:uid="{74923F34-AA98-4E57-838B-EAA12D64511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41" authorId="0" shapeId="0" xr:uid="{EA2E3B0E-6550-414B-9F01-A4EFAA20C70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52" authorId="0" shapeId="0" xr:uid="{217E7670-6A9E-419B-B2E5-7A73FCDF307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65" authorId="0" shapeId="0" xr:uid="{CE847C6E-70F0-47CA-AAE7-D0819A58774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76" authorId="0" shapeId="0" xr:uid="{9296C926-BF64-44FA-83F8-B0B97BDC14C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1" authorId="0" shapeId="0" xr:uid="{E65AE05A-BA1A-49FB-808F-066F09B3C26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EA032323-2B66-4B9B-B34C-9E4953B8F46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1" authorId="0" shapeId="0" xr:uid="{1AECD102-DA12-4AAB-BE5C-602C80D880C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3" authorId="0" shapeId="0" xr:uid="{3597B6B7-8293-441F-B8EC-1853F3F0A3A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B106" authorId="0" shapeId="0" xr:uid="{2BBE8AC0-30C5-49FB-AEFF-77DE11633C1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contometro 10Nov25</t>
        </r>
      </text>
    </comment>
    <comment ref="B113" authorId="0" shapeId="0" xr:uid="{1BB4F37D-F924-473E-9D33-F10A59B9B29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de contometro </t>
        </r>
      </text>
    </comment>
    <comment ref="K118" authorId="0" shapeId="0" xr:uid="{B5165726-A43C-43F3-86EF-71CC41FCBC5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48" authorId="0" shapeId="0" xr:uid="{9DC25CB9-90EB-4F73-A5D5-90CED4137F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8" authorId="0" shapeId="0" xr:uid="{6786E5D6-610F-4F44-873A-DDCBD0AE73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2" authorId="0" shapeId="0" xr:uid="{84DDB66C-5E7F-48A3-A1FA-3F6C01DD4BF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4" authorId="0" shapeId="0" xr:uid="{13AE0743-10B9-449F-87E7-61A46BB7F87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33F6867A-A673-4298-9F49-256C44AC02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A10F8189-C725-4F18-BD50-1A13338D04B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9" authorId="0" shapeId="0" xr:uid="{F12948D9-B348-4E39-A09D-3EAD57B9B76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6958790D-B3F5-4AB6-BE73-02D7ECAF7B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4B1FA390-32A4-42D0-B1B3-D75F8726127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E188" authorId="1" shapeId="0" xr:uid="{7E14E15D-5123-4139-AFDC-CE7EB3F1014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2B0D722F-C4BD-4AA2-8014-02FD0477433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07FB28B0-773F-42F4-8908-46AEED24618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DE7A7DE0-C2AD-41D4-ACCC-410709AB830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90" authorId="2" shapeId="0" xr:uid="{B2CD17E6-B8AB-4AEE-AA19-364D148D185D}">
      <text>
        <r>
          <rPr>
            <b/>
            <sz val="9"/>
            <color indexed="81"/>
            <rFont val="Tahoma"/>
            <family val="2"/>
          </rPr>
          <t>Sergio Portilla:</t>
        </r>
        <r>
          <rPr>
            <sz val="9"/>
            <color indexed="81"/>
            <rFont val="Tahoma"/>
            <family val="2"/>
          </rPr>
          <t xml:space="preserve">
Se realizó reclamo a Sedapal y se corrigio pago de consumo de agua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  <author>Sergio Portilla</author>
  </authors>
  <commentList>
    <comment ref="K11" authorId="0" shapeId="0" xr:uid="{2D39AE3A-588A-435C-94D0-46C6ED2F141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4" authorId="0" shapeId="0" xr:uid="{94321A58-BC7D-4873-A3D7-46219DB528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1" authorId="0" shapeId="0" xr:uid="{ADFD02F0-FB65-402D-80F4-61C823531E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9" authorId="0" shapeId="0" xr:uid="{91C054BF-1570-4C9A-8946-E1DBFE6B07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41" authorId="0" shapeId="0" xr:uid="{80501471-0B44-4955-AC42-78C73C477A6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45" authorId="0" shapeId="0" xr:uid="{90034895-6567-4844-9267-AE811F492A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Corrección constante 0.01 x0.001
</t>
        </r>
      </text>
    </comment>
    <comment ref="K52" authorId="0" shapeId="0" xr:uid="{C566C349-3879-415B-ACC1-C846D5CF5A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53" authorId="0" shapeId="0" xr:uid="{6A5FAF4A-D2A9-4AF9-AD4D-6D23B4E375D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76" authorId="0" shapeId="0" xr:uid="{1E26ACA1-3703-439D-993A-87E7FC31EE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37FA044B-7FEA-46BB-8FEC-03BE4C5124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1" authorId="0" shapeId="0" xr:uid="{18B3D5A9-D676-4D13-BD2B-E996632A3BF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5" authorId="0" shapeId="0" xr:uid="{E7592D4B-1A28-4777-B961-8C49CBE5870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B106" authorId="0" shapeId="0" xr:uid="{01A63877-7CF3-4233-8A11-6F7EB824074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contometro 10Nov25</t>
        </r>
      </text>
    </comment>
    <comment ref="B113" authorId="0" shapeId="0" xr:uid="{74FB8FA9-F564-48DA-A689-0C2484F026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de contometro </t>
        </r>
      </text>
    </comment>
    <comment ref="K146" authorId="0" shapeId="0" xr:uid="{8D3E9698-4152-407C-83EF-E34670D7761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48" authorId="0" shapeId="0" xr:uid="{7E32BE19-71AC-4DB6-BA61-55999733CB2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49" authorId="0" shapeId="0" xr:uid="{E2BE5688-1EE1-4F0A-A016-F2BD5021523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2" authorId="0" shapeId="0" xr:uid="{C4ED85AE-FD55-4A12-BD92-85CADCCD72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8" authorId="0" shapeId="0" xr:uid="{492746BC-097E-4506-9542-DD39ED56463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9" authorId="0" shapeId="0" xr:uid="{7E8049F9-D817-4817-9236-EE4E44A50ED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4" authorId="0" shapeId="0" xr:uid="{DA6BDC70-3265-4EC8-AEB0-126DA5CBE50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0582CC02-75CA-4996-BA79-C9D387DC38B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08D9B9D1-E16A-4FAD-946C-5F0056EDF79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9" authorId="0" shapeId="0" xr:uid="{CF2B39D7-3ECF-4A55-AB18-83F1246CB86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6810985F-EF25-4BB3-AC56-33DE6E4A491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4" authorId="0" shapeId="0" xr:uid="{604054FB-D26D-482B-9F00-39D059BEDB0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5" authorId="0" shapeId="0" xr:uid="{0C43CA0A-4999-4CD2-BE68-D08412A7132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E4C84572-79A7-42F6-898B-F2EAA04EC8D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E188" authorId="1" shapeId="0" xr:uid="{F10C8420-6A5F-4D3A-A8B2-2944B570394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A5FB9D2F-8ADD-4DD1-88A7-F05BDA161B2E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02609BE9-CA1A-4792-84F7-58742580287D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7CB9DD31-CBA8-4A5B-BD65-8A0D126F04E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90" authorId="2" shapeId="0" xr:uid="{16B554F8-A46C-48CE-AEE6-B829F4917616}">
      <text>
        <r>
          <rPr>
            <b/>
            <sz val="9"/>
            <color indexed="81"/>
            <rFont val="Tahoma"/>
            <family val="2"/>
          </rPr>
          <t>Sergio Portilla:</t>
        </r>
        <r>
          <rPr>
            <sz val="9"/>
            <color indexed="81"/>
            <rFont val="Tahoma"/>
            <family val="2"/>
          </rPr>
          <t xml:space="preserve">
Se realizó reclamo a Sedapal y se corrigio pago de consumo de agua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G1" authorId="0" shapeId="0" xr:uid="{3B9D566D-5361-4384-88E3-F32C6B173F8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-S/4,770.00, pago exceso devuelto en la cuota </t>
        </r>
      </text>
    </comment>
    <comment ref="K154" authorId="0" shapeId="0" xr:uid="{45006E0B-BFF6-4AEF-8A8D-70D737E09F8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Estacionamiento 169</t>
        </r>
      </text>
    </comment>
    <comment ref="E188" authorId="1" shapeId="0" xr:uid="{47B58E57-2A45-46D4-9C3E-3858530AD912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A767F84A-2A6D-4EC9-B6F4-BBDF774C4690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7D31D707-3BF9-466F-A824-52901038D3E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C6F8ED27-A361-4833-9AF0-42DDB6D7434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G192" authorId="1" shapeId="0" xr:uid="{D1BF4CFA-D2A4-4371-8804-6EB374B28531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Poner número entero.
con 2 decimales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5" authorId="0" shapeId="0" xr:uid="{6BE181D2-F54F-4255-AD58-AADA5B1ECAF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" authorId="0" shapeId="0" xr:uid="{B7776F30-7CC4-4486-92D3-8805278B56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" authorId="0" shapeId="0" xr:uid="{82B29524-D684-473D-AF03-9F52FED6C4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4" authorId="0" shapeId="0" xr:uid="{E133B4BB-D74A-4F4E-A4DA-714352CF44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7" authorId="0" shapeId="0" xr:uid="{1E918E27-E860-4756-84CE-217598C0BC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9" authorId="0" shapeId="0" xr:uid="{1846CF90-F42F-4EBD-A184-D72350BD02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48" authorId="0" shapeId="0" xr:uid="{73D998F4-8A3C-4D41-B2C4-8D52CD3C717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65" authorId="0" shapeId="0" xr:uid="{4C6EA856-DE27-45D5-9B05-407E538CDC5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81" authorId="0" shapeId="0" xr:uid="{C2EED81F-3063-44D4-B525-EDFF4EB22E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1" authorId="0" shapeId="0" xr:uid="{9810FE0B-F95A-4F4D-9B82-6C1DF5EF819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2AF53FBC-0F8E-4123-B0F1-16893CB2930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1" authorId="0" shapeId="0" xr:uid="{2A200649-4F29-48FE-B99E-8F7FF10782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5" authorId="0" shapeId="0" xr:uid="{F4BD3B86-1C6B-4702-A537-A7D1EC98A3E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8" authorId="0" shapeId="0" xr:uid="{58A52FBC-A7F8-4F60-8FF7-71DE416AF6F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2" authorId="0" shapeId="0" xr:uid="{594BB420-BA6F-4124-B290-C49A68B0EAB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4" authorId="0" shapeId="0" xr:uid="{760BF11F-2019-49B6-841B-15E40DADA4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016101C5-D7BF-4DAA-A565-9740925917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5517F937-FCEE-4174-9580-C7F5F360B0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9" authorId="0" shapeId="0" xr:uid="{ABF0EF34-78EC-410D-9892-0541ABEE33D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0A7A1222-0127-4339-9507-6CE4E0DC352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4A685002-C35E-4E14-8830-25B23BFB2E5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80" authorId="0" shapeId="0" xr:uid="{B140B13D-7586-416A-BF8A-95DA2847DC8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82" authorId="0" shapeId="0" xr:uid="{F0E0D11C-3071-46CB-9A3E-81F924209B0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E188" authorId="1" shapeId="0" xr:uid="{B65F0B17-990D-4432-850F-AE43C8CC4D6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EFB205E2-049F-49E3-9F3C-AAA4F43FE429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A6B9C95C-4BCE-46D6-B0EE-F645A4A61BE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AAA6648D-A898-4439-BDB1-DF138081718C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G192" authorId="1" shapeId="0" xr:uid="{0F53C695-DD36-4917-8BB6-5AC366EF4C4B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Poner número entero.
con 2 decimales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5" authorId="0" shapeId="0" xr:uid="{FC8985F6-8120-4C00-BF9A-840B332031B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" authorId="0" shapeId="0" xr:uid="{066F2F91-9E58-4089-A0A4-C6D0C1686A5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2" authorId="0" shapeId="0" xr:uid="{05718F51-794E-4F68-BCDC-D07B5849577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" authorId="0" shapeId="0" xr:uid="{059F0E20-D528-4393-8141-9C50D20575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" authorId="0" shapeId="0" xr:uid="{647C220A-5DEE-4394-BE87-76011DD3EB8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4" authorId="0" shapeId="0" xr:uid="{614FF9F9-77EE-4022-9D6C-06B414EB1EF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9" authorId="0" shapeId="0" xr:uid="{CE1C121F-B4E3-43F1-A0DC-EC8ACD77F31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5" authorId="0" shapeId="0" xr:uid="{A8863CC0-182F-4914-8A4B-9648149D16E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9" authorId="0" shapeId="0" xr:uid="{57D82EDA-164B-4E7A-A06C-2A11DA18862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B43" authorId="0" shapeId="0" xr:uid="{4119C4D1-8DDE-46CB-9062-3E47CC8F26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Contometro primeros días de marzo22</t>
        </r>
      </text>
    </comment>
    <comment ref="K48" authorId="0" shapeId="0" xr:uid="{9D27C346-D555-42DF-BE41-1005DD83C51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52" authorId="0" shapeId="0" xr:uid="{7CD76548-7563-4FDA-ACD9-C34AF8754DE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65" authorId="0" shapeId="0" xr:uid="{4EEEF091-35F2-43A8-B065-531209DAD80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81" authorId="0" shapeId="0" xr:uid="{E0175678-CD27-4F92-B015-1FD5E765398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1" authorId="0" shapeId="0" xr:uid="{16C2A785-0D37-4102-AFA9-4F1AF3F096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15359273-EC6D-4690-9059-1AB6DEA0B48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5" authorId="0" shapeId="0" xr:uid="{961F5776-6461-490E-8939-5C517ADF4B9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8" authorId="0" shapeId="0" xr:uid="{AEE43E07-8BE7-47A2-BFCD-29164CF39D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29" authorId="0" shapeId="0" xr:uid="{4BDC4DA6-E428-4994-B340-42DBF91C2A3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37" authorId="0" shapeId="0" xr:uid="{02C0CA66-EBB5-4F69-88FF-34C0BEC30B6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5" authorId="0" shapeId="0" xr:uid="{B4871F38-DEF3-4602-A41D-E4AF5E609DF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8" authorId="0" shapeId="0" xr:uid="{A122F66B-5147-41DA-8170-555E87F6B50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9" authorId="0" shapeId="0" xr:uid="{D70DF923-5B46-47C7-8E16-6BFC99A786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consumo de agua fuera de parametro </t>
        </r>
      </text>
    </comment>
    <comment ref="K164" authorId="0" shapeId="0" xr:uid="{4B7579B2-1807-4613-8F07-960C2EA3FBE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9E7FA8F9-5E10-436D-8A58-5BFBDBDF330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FE5851F7-F29E-4AF8-A0BD-A2BFD2B5BFD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8B03A3E8-F99B-4B25-92EE-EC28B0400A6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8" authorId="0" shapeId="0" xr:uid="{B1FE572A-D4E3-47C6-A53E-395EB394000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266D6901-A6C1-404B-BB0E-FD8A336CAE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S/10.00
Multa M012-2025 S/100.00</t>
        </r>
      </text>
    </comment>
    <comment ref="E188" authorId="1" shapeId="0" xr:uid="{10041EC0-C39A-4DA9-9F5B-18272E88215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7F479034-1354-473F-9A55-C2693163613E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073AACD3-BBA6-4421-AA36-335DE52620F8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F19B91B3-82A6-4DBC-BAD4-5A8CE78D6C2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G192" authorId="1" shapeId="0" xr:uid="{599FB86E-C4DA-48EF-B24D-36F454D8B16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Poner número entero.
con 2 decimales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5" authorId="0" shapeId="0" xr:uid="{8D654617-107C-4143-9831-C20F65E26B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" authorId="0" shapeId="0" xr:uid="{B70077F7-3AB2-490D-8917-B97D41A121C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2" authorId="0" shapeId="0" xr:uid="{B178BDA2-F95E-498B-B1BD-CA6D568B619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4" authorId="0" shapeId="0" xr:uid="{CA45A3CB-98D5-402D-A457-1EEC38A606E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7" authorId="0" shapeId="0" xr:uid="{47DB5CCE-C887-4B81-B8F2-D3946CDE929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9" authorId="0" shapeId="0" xr:uid="{85938E25-8E24-4F1C-B344-C1F460B222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5" authorId="0" shapeId="0" xr:uid="{8907D11F-DD6F-4F02-B83D-8FAB61A8C4B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48" authorId="0" shapeId="0" xr:uid="{EC9AD394-0858-4601-A775-2F041A2C944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52" authorId="0" shapeId="0" xr:uid="{C9D958B4-3790-4C87-A5C6-ED425E41665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57" authorId="0" shapeId="0" xr:uid="{D79D6C99-AD11-4088-8062-F7F41D29901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88" authorId="0" shapeId="0" xr:uid="{83479739-F8E2-45F5-97E6-D2ECCD0662A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1" authorId="0" shapeId="0" xr:uid="{AEBCC10C-A3D7-43B3-883C-62CF8148A27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C18F798A-3BF7-478A-A901-182AE189712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5" authorId="0" shapeId="0" xr:uid="{E5241AD3-FEC7-4A84-917A-9D8CD8FA9A5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0" authorId="0" shapeId="0" xr:uid="{328D39EA-C2D9-4A27-89F2-29326FAEADD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B114" authorId="0" shapeId="0" xr:uid="{18F44261-9724-46D3-AB02-3CED811F216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contometro Abril25</t>
        </r>
      </text>
    </comment>
    <comment ref="K118" authorId="0" shapeId="0" xr:uid="{10DCB180-D88F-427C-A0E6-D611AD5261F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25" authorId="0" shapeId="0" xr:uid="{24F4D279-93DE-469C-AC78-92259B4CF0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2" authorId="0" shapeId="0" xr:uid="{108B3883-A8D3-46A1-BC2E-455DF1AF4E8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5" authorId="0" shapeId="0" xr:uid="{45253C25-CA54-44FB-833A-53E0D292746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2" authorId="0" shapeId="0" xr:uid="{FE68B053-ACE5-4008-884A-40EAB8DF861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329AA1B3-902F-4A06-82E1-F17F780A7F6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FBB805BC-0EE8-4439-A64C-A8EA50D97E6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9" authorId="0" shapeId="0" xr:uid="{A61E7DD6-4269-4EA6-AAEA-F56315DB6B3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6D25914A-31DD-4057-BE50-12327F8BD05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8" authorId="0" shapeId="0" xr:uid="{AD745A39-EA8E-4651-9307-5A659C2488E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BD90916F-45A5-42C8-A991-772239F9F77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E188" authorId="1" shapeId="0" xr:uid="{2A5C49D3-A652-41D7-96CA-89B9838E8ED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311207CF-86FF-4D3C-B03D-A3AF801A627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369DE9AD-89E8-477A-9D9B-AB7357FE4DB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E1CCB2B4-2614-4C0B-8971-06969F52D41F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B37" authorId="0" shapeId="0" xr:uid="{B5D23368-94DB-4967-B764-783D1128448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K80" authorId="0" shapeId="0" xr:uid="{D6901F92-E177-47F3-804D-56EEEA7D7FA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RMC 031-2025 ladridos de canes  </t>
        </r>
      </text>
    </comment>
    <comment ref="B123" authorId="0" shapeId="0" xr:uid="{9326D23E-3C0E-4502-B0B0-928B38A85B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K131" authorId="0" shapeId="0" xr:uid="{054C8494-6FFD-4F0D-BCEB-3CC60982482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RMC 031-2025 Escretas perro </t>
        </r>
      </text>
    </comment>
    <comment ref="B144" authorId="0" shapeId="0" xr:uid="{246DB888-C7D2-4063-B6E3-A0BFF7605CC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B154" authorId="0" shapeId="0" xr:uid="{A2ED6454-F563-4E20-A761-56E3551759E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K155" authorId="0" shapeId="0" xr:uid="{246888EE-4CE2-430A-9DB2-3934D4FC127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RMC 029-2025 Escretas perro </t>
        </r>
      </text>
    </comment>
    <comment ref="B178" authorId="0" shapeId="0" xr:uid="{8AF671A9-232D-4693-97E2-CBAE7871888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Cambio Contómetro 08052025</t>
        </r>
      </text>
    </comment>
    <comment ref="E188" authorId="1" shapeId="0" xr:uid="{D5FA3117-F40B-49DA-9360-C5D822B8F170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6516DD4B-C1BA-472E-9D36-8CB010FB411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D1B05E5B-270C-415E-8E8E-2937A28ED860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0DA48499-0C1F-4357-9930-0741C3FC8E3F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5" authorId="0" shapeId="0" xr:uid="{00260222-1235-404B-8F3E-D0AC930BE68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4" authorId="0" shapeId="0" xr:uid="{62291B86-896D-4D00-AF6E-53EB7E8F182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9" authorId="0" shapeId="0" xr:uid="{A9ED04DE-B0AD-48E7-8F42-072A284FBB9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35" authorId="0" shapeId="0" xr:uid="{EBF03136-5BDF-4F9F-8FC3-CAA1CF745154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48" authorId="0" shapeId="0" xr:uid="{03F9B39D-34BA-4C8A-9B4C-A2E10F2C849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76" authorId="0" shapeId="0" xr:uid="{4BF4A195-8EDB-495D-B124-3BA5CED7045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81" authorId="0" shapeId="0" xr:uid="{C7AD8C1B-C5BF-4C89-9585-75E32343D6C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88" authorId="0" shapeId="0" xr:uid="{AF217256-F962-4091-B4B3-C41A6760320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1" authorId="0" shapeId="0" xr:uid="{93B7CBE9-5F1C-447A-9E01-EB428902D94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3208D42C-6013-4C17-9653-C94F30247781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1" authorId="0" shapeId="0" xr:uid="{C2EDE612-A835-4890-858A-0A019B548BD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8" authorId="0" shapeId="0" xr:uid="{DBB6561A-3EC9-45FF-8125-60835F22D54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5" authorId="0" shapeId="0" xr:uid="{909D04F2-568B-4486-854E-C97B4B44A68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8" authorId="0" shapeId="0" xr:uid="{3666FAD6-BBA4-4CE6-992D-7072E40E1CAF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2" authorId="0" shapeId="0" xr:uid="{498A5322-2C9F-44DF-AA5C-AEDAEE8F954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5" authorId="0" shapeId="0" xr:uid="{45CE9851-F349-419D-89D5-0A8EF263652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FD01A29B-AFB9-4111-BD17-EE772A9909C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FC7D7D10-0E42-4B28-95AB-677FD570BFF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AE71B113-5372-43FB-A319-6A02959694D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5" authorId="0" shapeId="0" xr:uid="{B85A1151-7BCE-4F7A-821B-68A3075022EC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6FEC1410-676A-4C76-BDCB-3D749DF71F1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RMC 033-2025 sobre carga ascensor</t>
        </r>
      </text>
    </comment>
    <comment ref="E188" authorId="1" shapeId="0" xr:uid="{DF4CADA6-3F18-43C4-8DAD-930317D569C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20572CF4-C737-46D0-8DED-8B9BC45A457A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0971F66E-C6B1-4DF0-BFBD-CD8B1AC716A4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AC05001B-B4BE-480B-9D3A-EFC383EA2746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11" authorId="0" shapeId="0" xr:uid="{4E770625-1E75-4E4D-80C5-A553BBC79B9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24" authorId="0" shapeId="0" xr:uid="{69B51D1F-A705-4CE1-A2B5-C0122F4B52F7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48" authorId="0" shapeId="0" xr:uid="{8E56E508-B0FF-4EF8-8B5D-DBBC84A274C6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93" authorId="0" shapeId="0" xr:uid="{A059CC6D-9A50-4FAA-9809-8DE1209576D2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01" authorId="0" shapeId="0" xr:uid="{FC2F2601-D5C5-4DA3-86C1-12CBC19F53B0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18" authorId="0" shapeId="0" xr:uid="{7A0A3D78-ED48-48AE-8ADC-B774B23120E5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55" authorId="0" shapeId="0" xr:uid="{1088F063-6A91-4215-B491-E660C4B83C49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6" authorId="0" shapeId="0" xr:uid="{DA9145FD-22F3-4F24-B775-75C40FCBEB43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68" authorId="0" shapeId="0" xr:uid="{798FFAA6-3311-4D40-8808-4CBD7BCB919A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2" authorId="0" shapeId="0" xr:uid="{5D2DAEDF-4AE3-4B6F-80E0-DC7AF756738B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5" authorId="0" shapeId="0" xr:uid="{3364FEE8-9FC0-426A-8DB7-076D181E8FF8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Infocorp </t>
        </r>
      </text>
    </comment>
    <comment ref="K179" authorId="0" shapeId="0" xr:uid="{DF5B4C24-DAB8-4233-BA36-FEDD602E292E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RMC 033-2025 sobre carga ascensor</t>
        </r>
      </text>
    </comment>
    <comment ref="E188" authorId="1" shapeId="0" xr:uid="{B5814199-6651-47DF-B757-F287FFBA3FF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F1A532D8-58C2-4728-9866-CB5842976F7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D830A797-8F67-4F9A-B1FA-C4C8F445DC89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744977F3-388D-41C2-8F03-20C7E102D717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Energía Renovable Perú</author>
    <author>Sergio</author>
  </authors>
  <commentList>
    <comment ref="K61" authorId="0" shapeId="0" xr:uid="{52B2B717-FDA7-45DE-ADAA-8C017FEBF03D}">
      <text>
        <r>
          <rPr>
            <b/>
            <sz val="9"/>
            <color indexed="81"/>
            <rFont val="Tahoma"/>
            <family val="2"/>
          </rPr>
          <t>Energía Renovable Perú:</t>
        </r>
        <r>
          <rPr>
            <sz val="9"/>
            <color indexed="81"/>
            <rFont val="Tahoma"/>
            <family val="2"/>
          </rPr>
          <t xml:space="preserve">
Pintado de Pared Parque 
A502 pintará la pared c/u ahora es S/60.00 se devuelve 37.50 al C503</t>
        </r>
      </text>
    </comment>
    <comment ref="E188" authorId="1" shapeId="0" xr:uid="{655AE258-5BB0-4D4D-ADF4-BA2D80CD4675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8" authorId="1" shapeId="0" xr:uid="{70BC1B64-A5CE-459F-8BDD-4E6575E103C3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  <comment ref="E189" authorId="1" shapeId="0" xr:uid="{F5D1B892-DE54-429F-9484-4380252EE16B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monto facturación</t>
        </r>
      </text>
    </comment>
    <comment ref="F189" authorId="1" shapeId="0" xr:uid="{ED572836-C12A-4F55-A6FC-95B2CD539AB9}">
      <text>
        <r>
          <rPr>
            <b/>
            <sz val="9"/>
            <color indexed="81"/>
            <rFont val="Tahoma"/>
            <family val="2"/>
          </rPr>
          <t>Sergio:</t>
        </r>
        <r>
          <rPr>
            <sz val="9"/>
            <color indexed="81"/>
            <rFont val="Tahoma"/>
            <family val="2"/>
          </rPr>
          <t xml:space="preserve">
Ingresar m3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<sst xmlns="http://schemas.openxmlformats.org/spreadsheetml/2006/main" count="4875" uniqueCount="364">
  <si>
    <t>BLOCK</t>
  </si>
  <si>
    <t>NRO.</t>
  </si>
  <si>
    <t>FACTURA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</si>
  <si>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</si>
  <si>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</si>
  <si>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</si>
  <si>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</si>
  <si>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</si>
  <si>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</si>
  <si>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</si>
  <si>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</si>
  <si>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</si>
  <si>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 xml:space="preserve"> </t>
  </si>
  <si>
    <t xml:space="preserve">Cuota </t>
  </si>
  <si>
    <t>Pago</t>
  </si>
  <si>
    <t>Saldo</t>
  </si>
  <si>
    <t>Saldo Anual</t>
  </si>
  <si>
    <t>Actualizado el:</t>
  </si>
  <si>
    <t>Hora :</t>
  </si>
  <si>
    <t>DPTO</t>
  </si>
  <si>
    <t>DEUDA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</si>
  <si>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</si>
  <si>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</si>
  <si>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</si>
  <si>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</si>
  <si>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</si>
  <si>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</si>
  <si>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</si>
  <si>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</si>
  <si>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</si>
  <si>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</si>
  <si>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</si>
  <si>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</si>
  <si>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</si>
  <si>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Cuota 2</t>
  </si>
  <si>
    <t>Pago3</t>
  </si>
  <si>
    <t>Saldo4</t>
  </si>
  <si>
    <t>Cuota 5</t>
  </si>
  <si>
    <t>Pago6</t>
  </si>
  <si>
    <t>Saldo7</t>
  </si>
  <si>
    <t>Cuota 8</t>
  </si>
  <si>
    <t>Pago9</t>
  </si>
  <si>
    <t>Cuota 11</t>
  </si>
  <si>
    <t>Pago12</t>
  </si>
  <si>
    <t>Saldo13</t>
  </si>
  <si>
    <t>Cuota 14</t>
  </si>
  <si>
    <t>Pago15</t>
  </si>
  <si>
    <t>Saldo16</t>
  </si>
  <si>
    <t>Cuota 17</t>
  </si>
  <si>
    <t>Saldo19</t>
  </si>
  <si>
    <t>Cuota 20</t>
  </si>
  <si>
    <t>Pago21</t>
  </si>
  <si>
    <t>Saldo22</t>
  </si>
  <si>
    <t>Cuota 23</t>
  </si>
  <si>
    <t>Pago24</t>
  </si>
  <si>
    <t>Saldo25</t>
  </si>
  <si>
    <t>Cuota 26</t>
  </si>
  <si>
    <t>Pago27</t>
  </si>
  <si>
    <t>Saldo28</t>
  </si>
  <si>
    <t>Cuota 29</t>
  </si>
  <si>
    <t>Pago30</t>
  </si>
  <si>
    <t>Saldo31</t>
  </si>
  <si>
    <t>Cuota 32</t>
  </si>
  <si>
    <t>Pago33</t>
  </si>
  <si>
    <t>Saldo34</t>
  </si>
  <si>
    <t>Cuota</t>
  </si>
  <si>
    <t>Block</t>
  </si>
  <si>
    <t>Numero</t>
  </si>
  <si>
    <r>
      <t>DIF/M</t>
    </r>
    <r>
      <rPr>
        <b/>
        <vertAlign val="superscript"/>
        <sz val="10"/>
        <color theme="1"/>
        <rFont val="Calibri"/>
        <family val="2"/>
        <scheme val="minor"/>
      </rPr>
      <t>3</t>
    </r>
  </si>
  <si>
    <t>M3</t>
  </si>
  <si>
    <t>Max</t>
  </si>
  <si>
    <t>Min</t>
  </si>
  <si>
    <t>Medidor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</si>
  <si>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</si>
  <si>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</si>
  <si>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</si>
  <si>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</si>
  <si>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</si>
  <si>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</si>
  <si>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</si>
  <si>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</si>
  <si>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</si>
  <si>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</si>
  <si>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</si>
  <si>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</si>
  <si>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Importe</t>
  </si>
  <si>
    <t>GONZALES DONGO, AMERICO JESUS</t>
  </si>
  <si>
    <t>CESPEDES CACERES, JOSE IVAN</t>
  </si>
  <si>
    <t>LEIVA EYZAGUIRRE, WILDER</t>
  </si>
  <si>
    <t>PORTILLA ZOLEZZI, SERGIO</t>
  </si>
  <si>
    <t>BERNILLA UGAZ CESAR ALFREDO</t>
  </si>
  <si>
    <t>ALVARADO TUESTA EDWIN</t>
  </si>
  <si>
    <t>GOMEZ LOZANO, TITO ENRIQUE</t>
  </si>
  <si>
    <t>RIVERA BACA, FERNANDO IGNACIO</t>
  </si>
  <si>
    <t>DIAZ CHALCO DANIEL ARTURO</t>
  </si>
  <si>
    <t>ROJAS MAGUIÑA, FREDDY GIOVANNI</t>
  </si>
  <si>
    <t>ZUZUNAGA OBLITAS, HUGO HECTOR</t>
  </si>
  <si>
    <t>BASTIDAS TAYPE, IVONE ROXANA</t>
  </si>
  <si>
    <t>SANCHEZ VIVANCO CARLOS ALBERTO</t>
  </si>
  <si>
    <t>CONTRERAS PORTILLA, FEDERICO HENRY</t>
  </si>
  <si>
    <t>BARAHONA OLIVERA, CARLOS RAFAEL</t>
  </si>
  <si>
    <t>CASSARETTO BARDALES, JUAN JORGE</t>
  </si>
  <si>
    <t>PEREZ SAAVEDRA, HENRY EDGAR</t>
  </si>
  <si>
    <t>ALIAGA DIAZ DANTE</t>
  </si>
  <si>
    <t>TELLO CALDERON, NAIR BEATRIZ</t>
  </si>
  <si>
    <t>VERGARA DONOSO GUERRERO, CARLOS</t>
  </si>
  <si>
    <t>PAREDES JIMENEZ, RICARDO GREGORIO</t>
  </si>
  <si>
    <t>IZQUIERDO VILLALOBOS, Willy Salvador</t>
  </si>
  <si>
    <t>ECHEVARRIA MEJIA, VICTOR IVAN</t>
  </si>
  <si>
    <t>ZEGARRA BERRIOS, SALOMON JOSE M.</t>
  </si>
  <si>
    <t>PEREYRA ACOSTA, MANUEL ANTONIO</t>
  </si>
  <si>
    <t>TAIPE DOMINGUEZ, DANIEL IVAN</t>
  </si>
  <si>
    <t>OLMOS UGAZ, CARLOS ARTURO</t>
  </si>
  <si>
    <t>CRISANTO CANEPA JULIO CESAR</t>
  </si>
  <si>
    <t xml:space="preserve">NUÑEZ DEL PRADO MALDONADO EDWIN </t>
  </si>
  <si>
    <t>NUÑEZ GUZMAN, JORGE LUIS</t>
  </si>
  <si>
    <t>HASSINGER JIMENEZ EDWARD EMILIO</t>
  </si>
  <si>
    <t>OLIVERA DOIG, CESAR ANTONI</t>
  </si>
  <si>
    <t>ROJAS BOZOVICH, ALEX</t>
  </si>
  <si>
    <t>CORTIJO ROSELL, LUIS EMILIO</t>
  </si>
  <si>
    <t>OLAECHEA CHANOVE, CLAUDIA MARIANA</t>
  </si>
  <si>
    <t>MARQUEZ ALVARADO, OSCAR AURELIO</t>
  </si>
  <si>
    <t>ALAYO PIERREND, PIER ALBERTO</t>
  </si>
  <si>
    <t>LLOSA SERNA, DANTE RICARDO</t>
  </si>
  <si>
    <t>JARA VIDAL , CESAR AUGUSTO</t>
  </si>
  <si>
    <t>SKRINJARIC AYUNI, MIRKO</t>
  </si>
  <si>
    <t>CALLEGARI GALVAN, JUAN DE DIOS M.</t>
  </si>
  <si>
    <t>FLAVIO ROSAS / VARGAS NAPURI LUIS ALBERTO</t>
  </si>
  <si>
    <t xml:space="preserve">TUEROS MANNARELLI, Luís MIGUEL </t>
  </si>
  <si>
    <t>SOBERON SALAS NELSON GUAYO</t>
  </si>
  <si>
    <t>FLORIAN PODESTA RAFAEL ANGEL</t>
  </si>
  <si>
    <t>LUYO VERA, LUIS PEDRO</t>
  </si>
  <si>
    <t>RODENAS REYNA, CARLOS SERA</t>
  </si>
  <si>
    <t>NUÑEZ BRENIS, ROBERTO CARLOS</t>
  </si>
  <si>
    <t>ZUÑIGA CABRERA LUIS GUILLERMO</t>
  </si>
  <si>
    <t>ALARCON SALAS, RUDOLF RAUL</t>
  </si>
  <si>
    <t>ALVIAR CALLE, HUGO RICARDO</t>
  </si>
  <si>
    <t xml:space="preserve">PANICCIA DONAYRE, ARMANDO A. </t>
  </si>
  <si>
    <t xml:space="preserve">HUAMAN CANALES, JORGE FERNANDO </t>
  </si>
  <si>
    <t>GUTIERREZ MOLINA, JOEL</t>
  </si>
  <si>
    <t>ARCE MEDINA, RICARDO</t>
  </si>
  <si>
    <t>MAYCOCK PEREZ, NADIA YANIRA</t>
  </si>
  <si>
    <t>SAMANIEGO MUGA, CARLOS ALFONSO</t>
  </si>
  <si>
    <t>CORNEJO VEGA, JORGE</t>
  </si>
  <si>
    <t>ARANA NECOCHEA, JORGE MANUEL</t>
  </si>
  <si>
    <t>VILLAMIZAR MORALES, PATRIC</t>
  </si>
  <si>
    <t>CHAVEZ CARBAJAL, DIEGO DAVID</t>
  </si>
  <si>
    <t>HERRERA LANDAVERI FRANCISCO JOSE</t>
  </si>
  <si>
    <t>VERA MEDINA, RAPHAEL MAURICIO</t>
  </si>
  <si>
    <t>ARANA VILLON, JORGE ALFONSO</t>
  </si>
  <si>
    <t>MUÑOZ RAMIREZ, MANUEL MARCO A.</t>
  </si>
  <si>
    <t>PEREZ LALE, ALFREDO RODOLFO</t>
  </si>
  <si>
    <t>VINATEA MEDINA, JAIME RAFAEL</t>
  </si>
  <si>
    <t>LESCANO CONTRERAS JUAN AGUSTIN</t>
  </si>
  <si>
    <t>MELGAR ZUÑIGA, HUGO FERNANDO</t>
  </si>
  <si>
    <t>SOBRINO YAURI, ALICIA BENITA</t>
  </si>
  <si>
    <t>MENDOZA GUILLEN, LUIS GUILLERMO</t>
  </si>
  <si>
    <t>PAREDES ALVAN, ALFREDO RAUL</t>
  </si>
  <si>
    <t>BENZAQUEN DIAZ LEONARDO</t>
  </si>
  <si>
    <t>CASTRO TORANZO, ALVARO ROBERTO</t>
  </si>
  <si>
    <t>CORONADO AVELLANEDA MANUEL MARTIN</t>
  </si>
  <si>
    <t>VALDEZ MONGES FRANCISCO</t>
  </si>
  <si>
    <t>OBLITAS YABAR, ERICK RENZO</t>
  </si>
  <si>
    <t>ASENJO GALLO, MARTIN RAMON</t>
  </si>
  <si>
    <t>ECHEGARAY PACHECO. HERBERT M.</t>
  </si>
  <si>
    <t>VEGA TRAMONTANA, ALEJANDRO CARLOS</t>
  </si>
  <si>
    <t>FRANCO CORAL, YANINA ADRIANA</t>
  </si>
  <si>
    <t>INGA FLORES, CARMEN MANUELA</t>
  </si>
  <si>
    <t>TAVARA MEDINA JOSE ALONSO</t>
  </si>
  <si>
    <t>PATRNOGIC RENGIFO, RAUL</t>
  </si>
  <si>
    <t>NORIEGA TELLO, JOSE ANTONIO</t>
  </si>
  <si>
    <t>CONTRERAS LINARES, CARLOS ENRIQUE</t>
  </si>
  <si>
    <t>SALINAS BRAVO, EDDY</t>
  </si>
  <si>
    <t>VALDEZ ARROYO, ANGEL SERGIO</t>
  </si>
  <si>
    <t>NUÑEZ GUZMAN MANUEL MARTIN A.</t>
  </si>
  <si>
    <t>PACHERREZ RUESTA, MARTIN A</t>
  </si>
  <si>
    <t>FIGUEROA CONSIGLIERI, HUGO ANTONIO</t>
  </si>
  <si>
    <t>GRANDEZ LOPEZ, FREDY PASCUAL</t>
  </si>
  <si>
    <t>ALVAREZ ASTENGO CARLOS ROBERTO</t>
  </si>
  <si>
    <t>GOMEZ DE LA TORRE PETRELL JUAN C.</t>
  </si>
  <si>
    <t>CORNEJO RIVAS, CESAR ALEJANDRO</t>
  </si>
  <si>
    <t>RUIZ MONCADA ALBERTO</t>
  </si>
  <si>
    <t>GOMERO GOMERO, MAX PAULO</t>
  </si>
  <si>
    <t>DAVIS MOLINA, JOSE MIGUEL</t>
  </si>
  <si>
    <t>DEL CARPIO SAENZ, CAROLINA OFELIA</t>
  </si>
  <si>
    <t>CARDENAS VALSECA, MANUEL ENRIQUE</t>
  </si>
  <si>
    <t>COLINA ROJAS, RICARDO DANIEL</t>
  </si>
  <si>
    <t>INFANZON GUTIERREZ, JACK LUIS</t>
  </si>
  <si>
    <t>CASTRO LOAYZA, JORGE ROGER</t>
  </si>
  <si>
    <t xml:space="preserve">ABAD CACERES, PEDRO LUIS </t>
  </si>
  <si>
    <t>CHARAJA MONTAÑO, RODOLFO DAVID</t>
  </si>
  <si>
    <t>PONCE RODAS ROSA DELIA</t>
  </si>
  <si>
    <t>ZAVALETA DELGADILLO, COLETT</t>
  </si>
  <si>
    <t>SORIANO PAZOS, GENARO HUGO</t>
  </si>
  <si>
    <t>GIBSON RUFFNER ALEX OMAR</t>
  </si>
  <si>
    <t>ZAPATA TIPIAN, JORGE CESAR</t>
  </si>
  <si>
    <t>PHILLIPS DEL CASTILLO, VICTOR LUIS</t>
  </si>
  <si>
    <t>PEREZ BENITES, ALFREDO ANGEL</t>
  </si>
  <si>
    <t>PEÑA RUIZ, LUIS VIRGILIO</t>
  </si>
  <si>
    <t>SAAVEDRA HIPOLITO FRANCISCO EDHI</t>
  </si>
  <si>
    <t>RODRIGUEZ DIAZ ALFREDO FRANCISCO</t>
  </si>
  <si>
    <t>VALER ENCISO, FREDDY ROLANDO</t>
  </si>
  <si>
    <t>COLLANTES MURGA, AIDER</t>
  </si>
  <si>
    <t>CHU CHINEN, PATRICIA</t>
  </si>
  <si>
    <t>BOCANEGRA ABARCA, FRANKLIM OMAR</t>
  </si>
  <si>
    <t>PATRON COLUNCHE, PABLO CESAR</t>
  </si>
  <si>
    <t>SALAS BALBUENA SIXTO</t>
  </si>
  <si>
    <t>MEDINA REY FIDEL ANGEL</t>
  </si>
  <si>
    <t>GALVEZ RODRIGUEZ, LEWIS BENJAMIN</t>
  </si>
  <si>
    <t>PAJARES YLLESCAS, MARIA DEL ROSARIO</t>
  </si>
  <si>
    <t>BURGOS VALDIVIA EDGAR GINO</t>
  </si>
  <si>
    <t>SUAREZ ALAYZA, NELSON ADOLFO</t>
  </si>
  <si>
    <t>ROJAS AGUILAR JAVIER GUSTAVO</t>
  </si>
  <si>
    <t>VELA FLORES MICHAEL BORIS</t>
  </si>
  <si>
    <t>CORRALES ROMERO, ZEE CARLOS</t>
  </si>
  <si>
    <t>MACHIAVELLO VOJVODIC MIRKO</t>
  </si>
  <si>
    <t>MOY GALARZA, GILBERT ALEJANDRO</t>
  </si>
  <si>
    <t>BAXERIAS VUKANOVICH, ROBERT A.</t>
  </si>
  <si>
    <t>RUIZ ORE, JULIO ENRIQUE</t>
  </si>
  <si>
    <t>LOPEZ NIÑO DE GUZMAN, ENRIQUE</t>
  </si>
  <si>
    <t>PULGAR SILMAN, ALDO IVAN</t>
  </si>
  <si>
    <t xml:space="preserve">EVERETT ALARCO CRISTIAN </t>
  </si>
  <si>
    <t>APARICIO BACA, MARCO ANTONIO</t>
  </si>
  <si>
    <t>CABREJOS RENGIFO, SANDRO MANUEL</t>
  </si>
  <si>
    <t>CHAVEZ GOMEZ, MARCOS</t>
  </si>
  <si>
    <t>AGREDA ZAPATEL DANTE GERMAN</t>
  </si>
  <si>
    <t>GARCIA GUEROVICH VICTOR AURELIO</t>
  </si>
  <si>
    <t>IBARRA SCHAMBAHER, José MANUEL</t>
  </si>
  <si>
    <t>PAREDES PEREZ, JORGE GUILLERMO</t>
  </si>
  <si>
    <t>RIOS ALECCHI, ROLANDO ALFREDO</t>
  </si>
  <si>
    <t>QUISPE SANTOS, LIZ  VERONICA</t>
  </si>
  <si>
    <t>REATEGUI BARTRA JORGE ERICK</t>
  </si>
  <si>
    <t>CARRERA FLOREZ, RAMON JUAN F.</t>
  </si>
  <si>
    <t>GUERRERO DE PIEROLA, ENRIQUE A.</t>
  </si>
  <si>
    <t>DEL VILLAR BRICEÑO, RICARDO</t>
  </si>
  <si>
    <t>LOPEZ ZUÑIGA, NILTON GUIDO</t>
  </si>
  <si>
    <t>APARICIO FLORES, MANUEL ANIBAL</t>
  </si>
  <si>
    <t>SAMANEZ FUENTES JOSE FRANCISCO</t>
  </si>
  <si>
    <t>MACERA MANNUCCI, ALDO ERIC</t>
  </si>
  <si>
    <t>SALAZAR CUELLAR, OSCAR JESUS LUREN</t>
  </si>
  <si>
    <t>GRANDEZ RAMIREZ MARCIAL ALFONSO</t>
  </si>
  <si>
    <t>TALAVERA MIRANDA, HECTOR</t>
  </si>
  <si>
    <t>NAVARRETE ANDERSON, FELIPE</t>
  </si>
  <si>
    <t xml:space="preserve">APARICIO ZAMBRANO, LUIS ALBERTO </t>
  </si>
  <si>
    <t>LANDA VERTIZ, JUAN FRANCISCO</t>
  </si>
  <si>
    <t>ARRASCUE AVELLANEDA, LUIS ALBERTO</t>
  </si>
  <si>
    <t>LAZO ALATRISTA, GUILLERMO G.</t>
  </si>
  <si>
    <t>PEREZ SILVA, CARLOS ALBERTO</t>
  </si>
  <si>
    <t>LLAMOSAS CONSIGLIERI JUAN JOSE</t>
  </si>
  <si>
    <t>GOZALO BRAVO DE RUEDA, RAFAEL L.</t>
  </si>
  <si>
    <t>ALCALDE CACHAY, JOSE LUIS</t>
  </si>
  <si>
    <t>ROSPIGLIOSI SAENZ, WALTER EDWARD</t>
  </si>
  <si>
    <t>AGUIRRE RODRIGUEZ CESAR AUGUSTO</t>
  </si>
  <si>
    <t>QUIJANO GOMERO, HUGO MARTIN</t>
  </si>
  <si>
    <t>NUÑEZ DEL PRADO GOMEZ, OSCAR</t>
  </si>
  <si>
    <t>CALLIRGOS ROBLES, LUIS JOSE</t>
  </si>
  <si>
    <t>MONTORO ALEGRE MARIO ANTONIO</t>
  </si>
  <si>
    <t>RODRIGUEZ ESPINOZA, JAIME ARTURO</t>
  </si>
  <si>
    <t>NEYRA CALLE, LUIS ALBERTO</t>
  </si>
  <si>
    <t>CUEVA GARCIA CESAR MAXIMO</t>
  </si>
  <si>
    <t>GUTIERREZ GONZALES, JULIO CESAR</t>
  </si>
  <si>
    <t>GOMEZ TORRES CESAR MIGUEL</t>
  </si>
  <si>
    <t>GALVEZ HEREDIA, ROSA ELISABETH</t>
  </si>
  <si>
    <t>CORDOVA VILLANUEVA, DANIEL</t>
  </si>
  <si>
    <t>CUOTA</t>
  </si>
  <si>
    <t>Promedio</t>
  </si>
  <si>
    <t>Multas / otros</t>
  </si>
  <si>
    <t>JORGE RODRÍGUEZ VELARDE</t>
  </si>
  <si>
    <t>Saldo132</t>
  </si>
  <si>
    <t xml:space="preserve">BADOINO DIAZ, CARLINA ROSANNI </t>
  </si>
  <si>
    <t>Consumo Común</t>
  </si>
  <si>
    <t>Consumo Individual</t>
  </si>
  <si>
    <t>Pago152</t>
  </si>
  <si>
    <t>Media</t>
  </si>
  <si>
    <t>Facturación SEDAPAL</t>
  </si>
  <si>
    <t>Monto S/</t>
  </si>
  <si>
    <t>Pago Consumo Individual  
(S/)</t>
  </si>
  <si>
    <t>Pago Consumo Agua Común 
(S/)</t>
  </si>
  <si>
    <t>COBRO X DPTO. 
(S/)</t>
  </si>
  <si>
    <t>Total Soles</t>
  </si>
  <si>
    <t xml:space="preserve">Mes </t>
  </si>
  <si>
    <t>LAURA</t>
  </si>
  <si>
    <t>SET</t>
  </si>
  <si>
    <t>(a)</t>
  </si>
  <si>
    <t>Nota:</t>
  </si>
  <si>
    <t>Banco </t>
  </si>
  <si>
    <t>Nombre</t>
  </si>
  <si>
    <t>: ASOCIACIÓN DE VIVIENDA MONTE CAOBA - AVIMOC</t>
  </si>
  <si>
    <t>Número</t>
  </si>
  <si>
    <t xml:space="preserve">CCI </t>
  </si>
  <si>
    <t>RUC</t>
  </si>
  <si>
    <t>: 194-2521774-0-63</t>
  </si>
  <si>
    <r>
      <t>: </t>
    </r>
    <r>
      <rPr>
        <b/>
        <sz val="14"/>
        <color rgb="FF222222"/>
        <rFont val="Arial"/>
        <family val="2"/>
      </rPr>
      <t>BANCO DE CRÉDITO DEL PERÚ</t>
    </r>
  </si>
  <si>
    <r>
      <t>: </t>
    </r>
    <r>
      <rPr>
        <b/>
        <sz val="14"/>
        <color rgb="FF222222"/>
        <rFont val="Arial"/>
        <family val="2"/>
      </rPr>
      <t>002-194002521774063-95</t>
    </r>
  </si>
  <si>
    <r>
      <t>: </t>
    </r>
    <r>
      <rPr>
        <b/>
        <sz val="14"/>
        <color rgb="FF222222"/>
        <rFont val="Arial"/>
        <family val="2"/>
      </rPr>
      <t>20537982765</t>
    </r>
  </si>
  <si>
    <t xml:space="preserve">Fecha/Hora
 impresión </t>
  </si>
  <si>
    <t>Común</t>
  </si>
  <si>
    <t>CONDOMINIO</t>
  </si>
  <si>
    <t>Surco</t>
  </si>
  <si>
    <t>Jr. Monte Caoba 1015</t>
  </si>
  <si>
    <t>Pagina</t>
  </si>
  <si>
    <t>Dpto.</t>
  </si>
  <si>
    <t>RESIDENCIAL MONTE CAOBA</t>
  </si>
  <si>
    <t xml:space="preserve">DESCRIPCIÓN </t>
  </si>
  <si>
    <t>Mes:</t>
  </si>
  <si>
    <t>RODERICK PAREDES</t>
  </si>
  <si>
    <r>
      <t xml:space="preserve">EL </t>
    </r>
    <r>
      <rPr>
        <b/>
        <sz val="12"/>
        <rFont val="Arial"/>
        <family val="2"/>
      </rPr>
      <t>MONTO IN</t>
    </r>
    <r>
      <rPr>
        <b/>
        <sz val="12"/>
        <color theme="1"/>
        <rFont val="Arial"/>
        <family val="2"/>
      </rPr>
      <t xml:space="preserve">DICADO ES LA </t>
    </r>
    <r>
      <rPr>
        <b/>
        <sz val="12"/>
        <color rgb="FFFF0000"/>
        <rFont val="Arial"/>
        <family val="2"/>
      </rPr>
      <t>CUOTA DE MANTENIMIENTO A PAGAR</t>
    </r>
    <r>
      <rPr>
        <b/>
        <sz val="12"/>
        <color theme="1"/>
        <rFont val="Arial"/>
        <family val="2"/>
      </rPr>
      <t xml:space="preserve">, Y QUE DE  ACUERDO A  REGLAMENTO ES DEL </t>
    </r>
    <r>
      <rPr>
        <b/>
        <sz val="12"/>
        <color rgb="FFFF0000"/>
        <rFont val="Arial"/>
        <family val="2"/>
      </rPr>
      <t>20 HASTA AL 30 ó 31 DEL MES</t>
    </r>
    <r>
      <rPr>
        <b/>
        <sz val="12"/>
        <color theme="1"/>
        <rFont val="Arial"/>
        <family val="2"/>
      </rPr>
      <t>; EL DEPÓSITO DEBERÁ EFECTUARSE EN LA CUENTA BCP - AVIMOC.   SÍRVASE ENVIAR EL VOUCHER AL CORREO:  tesoreria@montecaoba.com (ÚNICO MEDIO DE ENVÍO).</t>
    </r>
  </si>
  <si>
    <t>DÍAS PUBLICACIÓN</t>
  </si>
  <si>
    <t xml:space="preserve">Días Publicación </t>
  </si>
  <si>
    <t>ALVAREZ ASTENGO CARLOS ROBERTO / EMMA IRENE SOPLOPUCO MONCADA</t>
  </si>
  <si>
    <t xml:space="preserve"> la cuota faltate es S/372.34</t>
  </si>
  <si>
    <t>QR Cuota Mes</t>
  </si>
  <si>
    <t xml:space="preserve">QR Cuota Mes </t>
  </si>
  <si>
    <t xml:space="preserve">con formula </t>
  </si>
  <si>
    <t>IMURO MIYISHI, JULIO / GRACIELA</t>
  </si>
  <si>
    <t xml:space="preserve">ROMAN SAENZ ARENA / GRETTA PALACIOS AQUIJE </t>
  </si>
  <si>
    <t xml:space="preserve">CUOTA </t>
  </si>
  <si>
    <t>Al Día</t>
  </si>
  <si>
    <t>sin formula</t>
  </si>
  <si>
    <t>Reporte: Infocorp</t>
  </si>
  <si>
    <t>Pago Fijo 
290+20= S/310</t>
  </si>
  <si>
    <t>COLET ZAVALETA DELGADILLO</t>
  </si>
  <si>
    <t>ROSA DELIA PONCE RODAS</t>
  </si>
  <si>
    <t>CHARAJA MONTAÑO RODOLFO DAVID</t>
  </si>
  <si>
    <t>KARIM GONZALES</t>
  </si>
  <si>
    <t xml:space="preserve">CUENTA AVIMOC
Banco             : BANCO DE CRÉDITO DEL PERÚ 
A nombre de : ASOCIACIÓN DE VIVIENDA MONTE CAOBA - AVIMOC 
Número           : 194-2521774-0-63 
CCI                  : 002-194002521774063-95 
RUC                 : 20537982765
</t>
  </si>
  <si>
    <t>Visualización de Cuota Mes:
- Pág. Web -  www.montecaoba.com / Tesorería  
- Link correo electrónico / Cuota Mes
- Garita de Ingreso (Pizarra / Cel 920627586 / Cel 920616961)
- Pizarra Informativa Block.
- Código QR  [Cuota Mes …… 2025]</t>
  </si>
  <si>
    <r>
      <t>Visualización de Cuota Mes:
- Pág. Web -  www.montecaoba.com / Tesorería / Cuota mes..   
- Link correo electrónico / Cuota Mes
- Garita de Ingreso (Pizarra / Cel 920627586 / Cel 920616961)
- Pizarra Informativa Block.
- Código QR  [Cuota Mes …… 2025]
- Código QR  Yape pagos (</t>
    </r>
    <r>
      <rPr>
        <b/>
        <sz val="12"/>
        <color theme="1"/>
        <rFont val="Arial"/>
        <family val="2"/>
      </rPr>
      <t>Nombre Tesorero adminitrador cuenta</t>
    </r>
    <r>
      <rPr>
        <b/>
        <sz val="14"/>
        <color theme="1"/>
        <rFont val="Arial"/>
        <family val="2"/>
      </rPr>
      <t>]</t>
    </r>
  </si>
  <si>
    <r>
      <t>Visualización de Cuota Mes:
- Pág. Web -  www.montecaoba.com / Tesorería / Cuota mes..   
- Link correo electrónico / Cuota Mes
- Garita de Ingreso (Pizarra / Cel 920627586 / Cel 920616961)
- Pizarra Informativa Block.
- Código QR  [Cuota Mes …… 2025]
- Código QR  Yape pagos (</t>
    </r>
    <r>
      <rPr>
        <b/>
        <sz val="12"/>
        <color theme="1"/>
        <rFont val="Arial"/>
        <family val="2"/>
      </rPr>
      <t>Nombre Tesorero adminitrador cuenta]</t>
    </r>
  </si>
  <si>
    <r>
      <t xml:space="preserve">Visualización de Cuota Mes:
- Pág. Web -  www.montecaoba.com / Tesorería / Cuota mes..   
- Link correo electrónico / Cuota Mes
- Garita de Ingreso (Pizarra / Cel 920627586 / Cel 920616961)
- Pizarra Informativa Block.
- Código QR  [Cuota Mes …… 2025]
- </t>
    </r>
    <r>
      <rPr>
        <sz val="14"/>
        <color theme="1"/>
        <rFont val="Arial"/>
        <family val="2"/>
      </rPr>
      <t>C</t>
    </r>
    <r>
      <rPr>
        <b/>
        <sz val="14"/>
        <color theme="1"/>
        <rFont val="Arial"/>
        <family val="2"/>
      </rPr>
      <t>ódigo QR  Yape pagos (</t>
    </r>
    <r>
      <rPr>
        <b/>
        <sz val="12"/>
        <color theme="1"/>
        <rFont val="Arial"/>
        <family val="2"/>
      </rPr>
      <t>Nombre Tesorero adminitrador cuenta</t>
    </r>
    <r>
      <rPr>
        <b/>
        <sz val="14"/>
        <color theme="1"/>
        <rFont val="Arial"/>
        <family val="2"/>
      </rPr>
      <t xml:space="preserve">]
</t>
    </r>
  </si>
  <si>
    <t>03 o más Cuotas/Pagos</t>
  </si>
  <si>
    <r>
      <rPr>
        <b/>
        <sz val="12"/>
        <rFont val="Calibri"/>
        <family val="2"/>
        <scheme val="minor"/>
      </rPr>
      <t>Decreto Legislativo Nº 1568 Publicado 28/May/2023</t>
    </r>
    <r>
      <rPr>
        <sz val="12"/>
        <color theme="10"/>
        <rFont val="Calibri"/>
        <family val="2"/>
        <scheme val="minor"/>
      </rPr>
      <t xml:space="preserve">
</t>
    </r>
  </si>
  <si>
    <t>03 ó más Cuotas/Pagos</t>
  </si>
  <si>
    <t xml:space="preserve">Indica que para Dic25 o Feb26 </t>
  </si>
  <si>
    <t>03 o más Cuotas/Pagos
Reporte: Infocorp</t>
  </si>
  <si>
    <t>Cuotas correo 040925</t>
  </si>
  <si>
    <t xml:space="preserve">Cuota Ascensores </t>
  </si>
  <si>
    <t>Cuota Mantenimiento</t>
  </si>
  <si>
    <t>Consumo Agua Individual</t>
  </si>
  <si>
    <t xml:space="preserve">Consumo Agua Común </t>
  </si>
  <si>
    <t>DETALLE</t>
  </si>
  <si>
    <t>MONTO</t>
  </si>
  <si>
    <t xml:space="preserve">Indica que para Oct iniciará los pagos </t>
  </si>
  <si>
    <t>Cuota Mantenimiento
(S/290.00*%)+S/20.00</t>
  </si>
  <si>
    <t>I504</t>
  </si>
  <si>
    <t xml:space="preserve">Cuota Extraordinaria </t>
  </si>
  <si>
    <t xml:space="preserve">RECIBO DE MANTENIMIENTO Y ADMINISTRACIÓN </t>
  </si>
  <si>
    <r>
      <rPr>
        <b/>
        <sz val="10"/>
        <color theme="1"/>
        <rFont val="Century Gothic"/>
        <family val="2"/>
      </rPr>
      <t>NOTA:</t>
    </r>
    <r>
      <rPr>
        <sz val="10"/>
        <color theme="1"/>
        <rFont val="Century Gothic"/>
        <family val="2"/>
      </rPr>
      <t xml:space="preserve"> ESTE RECIBO NO ES DE CARÁCTER FISCAL, YA QUE COBRA UNA CUOTA PARA EL MANTENIMIENTO Y CONSERVACIÓN DE LAS ÁREAS COMUNES DE ESTE CONDOMINIO, EL PAGO DE ESTE RECIBO SOLO SE APLICA PARA EL MES ESPECIFICADO, NO LIBERA AL DPTO. DE DEUDAS ANTERIORES</t>
    </r>
  </si>
  <si>
    <t>Pagará el 31 Octubre 2025/Correo 09/10</t>
  </si>
  <si>
    <t>Cuota Pendiente</t>
  </si>
  <si>
    <t>Dato de la Columna G</t>
  </si>
  <si>
    <t>Dato de la Columna H</t>
  </si>
  <si>
    <t>Dato de la Columna K</t>
  </si>
  <si>
    <t xml:space="preserve">Si la hubiera </t>
  </si>
  <si>
    <t>Multa/Otros</t>
  </si>
  <si>
    <t>Ingrese los datos del Mes Año</t>
  </si>
  <si>
    <t>1. Pago personal de seguridad, limpieza y jardines.
2. Conservación y limpieza áreas y ambientes comunes.
3. Mantenimiento de instalaciones de uso común.
4. Suministro de electricidad.
5. Mantenimiento de ascensores.
6. Consumo de agua individual y común.
7. Otros (Multa/Cuota/Extraordinaria)</t>
  </si>
  <si>
    <t>Indica 5Dic 50% y 30Dic 50% correo 23Nov</t>
  </si>
  <si>
    <t>Deudor  03 a +</t>
  </si>
  <si>
    <t xml:space="preserve">Deuda 01 ó 02 </t>
  </si>
  <si>
    <r>
      <t xml:space="preserve"> CUOTA MANTENIMIENTO MONTE CAOBA - DICIEMBRE 2025
</t>
    </r>
    <r>
      <rPr>
        <b/>
        <sz val="20"/>
        <color rgb="FFFF0000"/>
        <rFont val="Calibri Light"/>
        <family val="2"/>
      </rPr>
      <t xml:space="preserve">(CUOTA POR PAGAR COLOR ROJO) </t>
    </r>
  </si>
  <si>
    <t>DICIEMBRE</t>
  </si>
  <si>
    <t>A-000</t>
  </si>
  <si>
    <t>Deuda Acumulada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</si>
</sst>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&quot;S/&quot;* #,##0.00_ ;_ &quot;S/&quot;* \-#,##0.00_ ;_ &quot;S/&quot;* &quot;-&quot;??_ ;_ @_ "/>
    <numFmt numFmtId="165" formatCode="_ * #,##0.00_ ;_ * \-#,##0.00_ ;_ * &quot;-&quot;??_ ;_ @_ "/>
    <numFmt numFmtId="166" formatCode="&quot;S/&quot;#,##0.00"/>
    <numFmt numFmtId="167" formatCode="#,##0;[Red]#,##0"/>
    <numFmt numFmtId="168" formatCode="#,##0.00;[Red]#,##0.00"/>
    <numFmt numFmtId="169" formatCode="0_ ;[Red]\-0\ "/>
    <numFmt numFmtId="170" formatCode="&quot;S/&quot;#,##0.00;[Red]&quot;S/&quot;#,##0.00"/>
    <numFmt numFmtId="171" formatCode="0.000000"/>
    <numFmt numFmtId="172" formatCode="[$-F400]h:mm:ss\ AM/PM"/>
    <numFmt numFmtId="173" formatCode="00"/>
    <numFmt numFmtId="174" formatCode="0.0000"/>
    <numFmt numFmtId="175" formatCode="#,##0.0000"/>
    <numFmt numFmtId="176" formatCode="mmm\-yyyy"/>
    <numFmt numFmtId="177" formatCode="&quot;S/&quot;\ #,##0.00;[Red]&quot;S/&quot;\ #,##0.00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4"/>
      <color rgb="FFFF0000"/>
      <name val="Arial"/>
      <family val="2"/>
    </font>
    <font>
      <b/>
      <sz val="11"/>
      <color theme="9" tint="0.79998168889431442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4"/>
      <color indexed="58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sz val="12"/>
      <color rgb="FF222222"/>
      <name val="Arial"/>
      <family val="2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5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indexed="5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6"/>
      <color theme="1"/>
      <name val="Arial"/>
      <family val="2"/>
    </font>
    <font>
      <sz val="11"/>
      <color theme="0" tint="-0.34998626667073579"/>
      <name val="Calibri"/>
      <family val="2"/>
      <scheme val="minor"/>
    </font>
    <font>
      <sz val="16"/>
      <color theme="0" tint="-0.34998626667073579"/>
      <name val="Calibri"/>
      <family val="2"/>
      <scheme val="minor"/>
    </font>
    <font>
      <sz val="14"/>
      <color theme="0" tint="-0.3499862666707357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indexed="58"/>
      <name val="Century Gothic"/>
      <family val="2"/>
    </font>
    <font>
      <b/>
      <sz val="11"/>
      <name val="Century Gothic"/>
      <family val="2"/>
    </font>
    <font>
      <sz val="11"/>
      <color theme="1"/>
      <name val="Century Gothic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9"/>
      <color theme="1"/>
      <name val="Arial"/>
      <family val="2"/>
    </font>
    <font>
      <sz val="14"/>
      <color rgb="FF222222"/>
      <name val="Arial"/>
      <family val="2"/>
    </font>
    <font>
      <b/>
      <sz val="14"/>
      <color rgb="FF222222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 Nova"/>
      <family val="2"/>
    </font>
    <font>
      <b/>
      <sz val="11"/>
      <color theme="1"/>
      <name val="Arial Nova"/>
      <family val="2"/>
    </font>
    <font>
      <b/>
      <sz val="11"/>
      <color indexed="58"/>
      <name val="Arial Nova"/>
      <family val="2"/>
    </font>
    <font>
      <sz val="10"/>
      <color theme="1"/>
      <name val="Arial Nova"/>
      <family val="2"/>
    </font>
    <font>
      <sz val="16"/>
      <color theme="8" tint="-0.499984740745262"/>
      <name val="Arial Nova"/>
      <family val="2"/>
    </font>
    <font>
      <sz val="11"/>
      <color theme="0"/>
      <name val="Arial Nova"/>
      <family val="2"/>
    </font>
    <font>
      <b/>
      <sz val="12"/>
      <name val="Arial Nova Light"/>
      <family val="2"/>
    </font>
    <font>
      <u/>
      <sz val="11"/>
      <color theme="10"/>
      <name val="Calibri"/>
      <family val="2"/>
      <scheme val="minor"/>
    </font>
    <font>
      <sz val="11"/>
      <color theme="0" tint="-0.14999847407452621"/>
      <name val="Arial Nova"/>
      <family val="2"/>
    </font>
    <font>
      <sz val="12"/>
      <color theme="1"/>
      <name val="Arial Nova"/>
      <family val="2"/>
    </font>
    <font>
      <sz val="18"/>
      <color theme="1"/>
      <name val="Century Gothic"/>
      <family val="2"/>
    </font>
    <font>
      <b/>
      <sz val="14"/>
      <color theme="1"/>
      <name val="Calibri Light"/>
      <family val="2"/>
    </font>
    <font>
      <b/>
      <sz val="12"/>
      <color theme="1"/>
      <name val="Calibri Light"/>
      <family val="2"/>
    </font>
    <font>
      <b/>
      <sz val="12"/>
      <color rgb="FFFF0000"/>
      <name val="Calibri Light"/>
      <family val="2"/>
    </font>
    <font>
      <b/>
      <sz val="12"/>
      <color indexed="58"/>
      <name val="Calibri Light"/>
      <family val="2"/>
    </font>
    <font>
      <b/>
      <sz val="11"/>
      <color theme="1"/>
      <name val="Calibri Light"/>
      <family val="2"/>
    </font>
    <font>
      <b/>
      <sz val="14"/>
      <color indexed="58"/>
      <name val="Calibri Light"/>
      <family val="2"/>
    </font>
    <font>
      <b/>
      <sz val="14"/>
      <color rgb="FFFF0000"/>
      <name val="Calibri Light"/>
      <family val="2"/>
    </font>
    <font>
      <b/>
      <sz val="14"/>
      <color theme="0"/>
      <name val="Calibri Light"/>
      <family val="2"/>
    </font>
    <font>
      <b/>
      <sz val="14"/>
      <name val="Calibri Light"/>
      <family val="2"/>
    </font>
    <font>
      <b/>
      <sz val="20"/>
      <color theme="1"/>
      <name val="Calibri Light"/>
      <family val="2"/>
    </font>
    <font>
      <b/>
      <sz val="20"/>
      <color rgb="FFFF0000"/>
      <name val="Calibri Light"/>
      <family val="2"/>
    </font>
    <font>
      <sz val="12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0000"/>
      <name val="Calibri Light"/>
      <family val="2"/>
    </font>
    <font>
      <sz val="12"/>
      <color rgb="FFFF0000"/>
      <name val="Arial"/>
      <family val="2"/>
    </font>
    <font>
      <b/>
      <sz val="16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rgb="FFFF0000"/>
      <name val="Arial"/>
      <family val="2"/>
    </font>
    <font>
      <sz val="11"/>
      <color rgb="FFFF0000"/>
      <name val="Arial Nova"/>
      <family val="2"/>
    </font>
    <font>
      <b/>
      <sz val="16"/>
      <color theme="1"/>
      <name val="Arial Nov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6"/>
      <color indexed="58"/>
      <name val="Arial Nova"/>
      <family val="2"/>
    </font>
    <font>
      <b/>
      <sz val="14"/>
      <color rgb="FFFF0000"/>
      <name val="Arial Nova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3FDF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7" fillId="0" borderId="0" applyNumberFormat="0" applyFill="0" applyBorder="0" applyAlignment="0" applyProtection="0"/>
  </cellStyleXfs>
  <cellXfs count="355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16" fontId="2" fillId="2" borderId="1" xfId="0" applyNumberFormat="1" applyFont="1" applyFill="1" applyBorder="1" applyAlignment="1">
      <alignment horizontal="center" vertical="center"/>
    </xf>
    <xf numFmtId="166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0" fillId="0" borderId="0" xfId="0" applyNumberFormat="1"/>
    <xf numFmtId="0" fontId="4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8" fillId="0" borderId="0" xfId="0" applyFont="1"/>
    <xf numFmtId="0" fontId="5" fillId="0" borderId="0" xfId="0" applyFont="1"/>
    <xf numFmtId="1" fontId="0" fillId="0" borderId="0" xfId="0" applyNumberFormat="1" applyAlignment="1">
      <alignment horizontal="center"/>
    </xf>
    <xf numFmtId="0" fontId="11" fillId="0" borderId="0" xfId="0" applyFont="1"/>
    <xf numFmtId="0" fontId="14" fillId="0" borderId="0" xfId="0" applyFont="1"/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43" fontId="0" fillId="0" borderId="0" xfId="0" applyNumberFormat="1"/>
    <xf numFmtId="43" fontId="2" fillId="2" borderId="1" xfId="0" applyNumberFormat="1" applyFont="1" applyFill="1" applyBorder="1" applyAlignment="1">
      <alignment horizontal="center" vertical="center" wrapText="1"/>
    </xf>
    <xf numFmtId="43" fontId="0" fillId="0" borderId="1" xfId="0" applyNumberFormat="1" applyBorder="1" applyAlignment="1">
      <alignment horizontal="center"/>
    </xf>
    <xf numFmtId="168" fontId="10" fillId="0" borderId="0" xfId="0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168" fontId="11" fillId="5" borderId="0" xfId="0" applyNumberFormat="1" applyFont="1" applyFill="1" applyAlignment="1">
      <alignment horizontal="center"/>
    </xf>
    <xf numFmtId="168" fontId="11" fillId="0" borderId="0" xfId="0" applyNumberFormat="1" applyFont="1" applyAlignment="1">
      <alignment horizontal="center"/>
    </xf>
    <xf numFmtId="4" fontId="0" fillId="0" borderId="1" xfId="0" applyNumberFormat="1" applyBorder="1"/>
    <xf numFmtId="0" fontId="2" fillId="2" borderId="1" xfId="0" applyFont="1" applyFill="1" applyBorder="1" applyAlignment="1">
      <alignment horizontal="center" vertical="center" wrapText="1"/>
    </xf>
    <xf numFmtId="168" fontId="0" fillId="0" borderId="0" xfId="0" applyNumberFormat="1"/>
    <xf numFmtId="4" fontId="0" fillId="6" borderId="1" xfId="0" applyNumberFormat="1" applyFill="1" applyBorder="1"/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8" fillId="4" borderId="8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20" fillId="0" borderId="0" xfId="0" applyFont="1"/>
    <xf numFmtId="0" fontId="18" fillId="0" borderId="0" xfId="0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horizontal="center"/>
    </xf>
    <xf numFmtId="2" fontId="0" fillId="0" borderId="1" xfId="0" applyNumberFormat="1" applyBorder="1"/>
    <xf numFmtId="43" fontId="0" fillId="0" borderId="1" xfId="0" applyNumberFormat="1" applyBorder="1"/>
    <xf numFmtId="0" fontId="25" fillId="2" borderId="1" xfId="0" applyFont="1" applyFill="1" applyBorder="1" applyAlignment="1">
      <alignment horizontal="center" vertical="center" textRotation="90"/>
    </xf>
    <xf numFmtId="0" fontId="16" fillId="2" borderId="1" xfId="0" applyFont="1" applyFill="1" applyBorder="1" applyAlignment="1">
      <alignment horizontal="center" vertical="center" textRotation="90"/>
    </xf>
    <xf numFmtId="2" fontId="0" fillId="10" borderId="1" xfId="0" applyNumberFormat="1" applyFill="1" applyBorder="1"/>
    <xf numFmtId="0" fontId="0" fillId="0" borderId="1" xfId="0" applyBorder="1" applyAlignment="1">
      <alignment horizontal="center"/>
    </xf>
    <xf numFmtId="4" fontId="0" fillId="0" borderId="8" xfId="0" applyNumberFormat="1" applyBorder="1"/>
    <xf numFmtId="4" fontId="0" fillId="0" borderId="3" xfId="0" applyNumberFormat="1" applyBorder="1"/>
    <xf numFmtId="1" fontId="0" fillId="0" borderId="10" xfId="0" applyNumberFormat="1" applyBorder="1" applyAlignment="1">
      <alignment horizontal="center"/>
    </xf>
    <xf numFmtId="0" fontId="16" fillId="2" borderId="4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0" fillId="4" borderId="1" xfId="0" applyFill="1" applyBorder="1" applyAlignment="1">
      <alignment horizontal="center"/>
    </xf>
    <xf numFmtId="169" fontId="0" fillId="0" borderId="0" xfId="0" applyNumberFormat="1" applyAlignment="1">
      <alignment horizontal="center"/>
    </xf>
    <xf numFmtId="0" fontId="28" fillId="4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169" fontId="0" fillId="0" borderId="0" xfId="0" applyNumberFormat="1"/>
    <xf numFmtId="1" fontId="2" fillId="0" borderId="1" xfId="0" applyNumberFormat="1" applyFont="1" applyBorder="1" applyAlignment="1">
      <alignment horizontal="center"/>
    </xf>
    <xf numFmtId="0" fontId="29" fillId="0" borderId="0" xfId="0" applyFont="1"/>
    <xf numFmtId="0" fontId="30" fillId="0" borderId="0" xfId="0" applyFont="1"/>
    <xf numFmtId="0" fontId="32" fillId="0" borderId="1" xfId="0" applyFont="1" applyBorder="1" applyAlignment="1">
      <alignment horizontal="left"/>
    </xf>
    <xf numFmtId="0" fontId="3" fillId="11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center"/>
    </xf>
    <xf numFmtId="169" fontId="28" fillId="0" borderId="1" xfId="0" applyNumberFormat="1" applyFont="1" applyBorder="1" applyAlignment="1">
      <alignment horizontal="center"/>
    </xf>
    <xf numFmtId="167" fontId="30" fillId="0" borderId="0" xfId="0" applyNumberFormat="1" applyFont="1"/>
    <xf numFmtId="0" fontId="30" fillId="0" borderId="0" xfId="0" applyFont="1" applyAlignment="1">
      <alignment horizontal="right"/>
    </xf>
    <xf numFmtId="0" fontId="32" fillId="0" borderId="1" xfId="0" applyFont="1" applyBorder="1"/>
    <xf numFmtId="0" fontId="0" fillId="0" borderId="0" xfId="0" applyAlignment="1">
      <alignment wrapText="1"/>
    </xf>
    <xf numFmtId="0" fontId="32" fillId="0" borderId="1" xfId="0" applyFont="1" applyBorder="1" applyAlignment="1">
      <alignment horizontal="center"/>
    </xf>
    <xf numFmtId="0" fontId="33" fillId="0" borderId="0" xfId="0" applyFont="1"/>
    <xf numFmtId="0" fontId="28" fillId="12" borderId="1" xfId="0" applyFont="1" applyFill="1" applyBorder="1" applyAlignment="1">
      <alignment horizontal="center"/>
    </xf>
    <xf numFmtId="0" fontId="32" fillId="0" borderId="10" xfId="0" applyFont="1" applyBorder="1" applyAlignment="1">
      <alignment horizontal="left"/>
    </xf>
    <xf numFmtId="0" fontId="28" fillId="0" borderId="1" xfId="0" applyFont="1" applyBorder="1"/>
    <xf numFmtId="0" fontId="0" fillId="0" borderId="0" xfId="0" applyAlignment="1">
      <alignment horizontal="justify" vertical="justify"/>
    </xf>
    <xf numFmtId="169" fontId="0" fillId="0" borderId="0" xfId="0" applyNumberFormat="1" applyAlignment="1">
      <alignment horizontal="justify" vertical="justify"/>
    </xf>
    <xf numFmtId="167" fontId="0" fillId="0" borderId="0" xfId="0" applyNumberFormat="1" applyAlignment="1">
      <alignment horizontal="right" vertical="justify"/>
    </xf>
    <xf numFmtId="0" fontId="33" fillId="0" borderId="0" xfId="0" applyFont="1" applyAlignment="1">
      <alignment horizontal="center"/>
    </xf>
    <xf numFmtId="165" fontId="31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0" fontId="3" fillId="0" borderId="0" xfId="0" applyFont="1"/>
    <xf numFmtId="168" fontId="31" fillId="0" borderId="1" xfId="0" applyNumberFormat="1" applyFont="1" applyBorder="1" applyAlignment="1">
      <alignment horizontal="right"/>
    </xf>
    <xf numFmtId="0" fontId="3" fillId="4" borderId="1" xfId="0" applyFont="1" applyFill="1" applyBorder="1" applyAlignment="1">
      <alignment horizontal="center"/>
    </xf>
    <xf numFmtId="0" fontId="32" fillId="4" borderId="1" xfId="0" applyFont="1" applyFill="1" applyBorder="1"/>
    <xf numFmtId="0" fontId="32" fillId="4" borderId="1" xfId="0" applyFont="1" applyFill="1" applyBorder="1" applyAlignment="1">
      <alignment horizontal="left"/>
    </xf>
    <xf numFmtId="4" fontId="0" fillId="3" borderId="10" xfId="0" applyNumberFormat="1" applyFill="1" applyBorder="1"/>
    <xf numFmtId="4" fontId="0" fillId="3" borderId="15" xfId="0" applyNumberFormat="1" applyFill="1" applyBorder="1"/>
    <xf numFmtId="168" fontId="10" fillId="0" borderId="0" xfId="0" applyNumberFormat="1" applyFont="1"/>
    <xf numFmtId="168" fontId="0" fillId="0" borderId="1" xfId="0" applyNumberFormat="1" applyBorder="1" applyAlignment="1">
      <alignment horizontal="right"/>
    </xf>
    <xf numFmtId="0" fontId="34" fillId="0" borderId="0" xfId="0" applyFont="1" applyAlignment="1">
      <alignment vertical="top" wrapText="1"/>
    </xf>
    <xf numFmtId="2" fontId="0" fillId="0" borderId="0" xfId="0" applyNumberFormat="1"/>
    <xf numFmtId="3" fontId="0" fillId="3" borderId="1" xfId="0" applyNumberFormat="1" applyFill="1" applyBorder="1" applyAlignment="1">
      <alignment horizontal="center"/>
    </xf>
    <xf numFmtId="3" fontId="0" fillId="3" borderId="8" xfId="0" applyNumberFormat="1" applyFill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35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37" fillId="0" borderId="0" xfId="0" applyFont="1" applyAlignment="1">
      <alignment vertical="top" wrapText="1"/>
    </xf>
    <xf numFmtId="1" fontId="9" fillId="5" borderId="1" xfId="0" applyNumberFormat="1" applyFont="1" applyFill="1" applyBorder="1" applyAlignment="1">
      <alignment horizontal="center" vertical="center" textRotation="90"/>
    </xf>
    <xf numFmtId="0" fontId="11" fillId="0" borderId="0" xfId="0" applyFont="1" applyAlignment="1">
      <alignment horizontal="center"/>
    </xf>
    <xf numFmtId="170" fontId="0" fillId="0" borderId="0" xfId="0" applyNumberFormat="1"/>
    <xf numFmtId="4" fontId="38" fillId="0" borderId="0" xfId="0" applyNumberFormat="1" applyFont="1"/>
    <xf numFmtId="4" fontId="39" fillId="0" borderId="0" xfId="0" applyNumberFormat="1" applyFont="1"/>
    <xf numFmtId="4" fontId="39" fillId="0" borderId="0" xfId="0" applyNumberFormat="1" applyFont="1" applyAlignment="1">
      <alignment horizontal="center" vertical="center"/>
    </xf>
    <xf numFmtId="4" fontId="40" fillId="0" borderId="0" xfId="0" applyNumberFormat="1" applyFont="1" applyAlignment="1">
      <alignment horizontal="left"/>
    </xf>
    <xf numFmtId="168" fontId="38" fillId="0" borderId="0" xfId="0" applyNumberFormat="1" applyFont="1"/>
    <xf numFmtId="0" fontId="2" fillId="13" borderId="1" xfId="0" applyFont="1" applyFill="1" applyBorder="1" applyAlignment="1">
      <alignment horizontal="center" vertical="center" wrapText="1"/>
    </xf>
    <xf numFmtId="168" fontId="0" fillId="14" borderId="1" xfId="0" applyNumberFormat="1" applyFill="1" applyBorder="1" applyAlignment="1">
      <alignment horizontal="center"/>
    </xf>
    <xf numFmtId="4" fontId="29" fillId="0" borderId="0" xfId="0" applyNumberFormat="1" applyFont="1"/>
    <xf numFmtId="0" fontId="42" fillId="4" borderId="0" xfId="0" applyFont="1" applyFill="1" applyAlignment="1">
      <alignment horizontal="center" vertical="center"/>
    </xf>
    <xf numFmtId="0" fontId="43" fillId="0" borderId="0" xfId="0" applyFont="1"/>
    <xf numFmtId="0" fontId="44" fillId="0" borderId="1" xfId="0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6" fillId="0" borderId="0" xfId="0" applyFont="1" applyAlignment="1">
      <alignment horizontal="justify" vertical="justify"/>
    </xf>
    <xf numFmtId="1" fontId="9" fillId="5" borderId="10" xfId="0" applyNumberFormat="1" applyFont="1" applyFill="1" applyBorder="1" applyAlignment="1">
      <alignment horizontal="center" vertical="center" textRotation="90"/>
    </xf>
    <xf numFmtId="0" fontId="9" fillId="0" borderId="1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68" fontId="0" fillId="0" borderId="17" xfId="0" applyNumberForma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168" fontId="0" fillId="14" borderId="2" xfId="0" applyNumberFormat="1" applyFill="1" applyBorder="1" applyAlignment="1">
      <alignment horizontal="center"/>
    </xf>
    <xf numFmtId="168" fontId="2" fillId="0" borderId="20" xfId="0" applyNumberFormat="1" applyFont="1" applyBorder="1" applyAlignment="1">
      <alignment horizontal="center"/>
    </xf>
    <xf numFmtId="168" fontId="3" fillId="0" borderId="17" xfId="0" applyNumberFormat="1" applyFont="1" applyBorder="1" applyAlignment="1">
      <alignment horizontal="center"/>
    </xf>
    <xf numFmtId="168" fontId="9" fillId="8" borderId="23" xfId="0" applyNumberFormat="1" applyFont="1" applyFill="1" applyBorder="1" applyAlignment="1">
      <alignment horizontal="center" vertical="center" textRotation="90"/>
    </xf>
    <xf numFmtId="1" fontId="9" fillId="14" borderId="4" xfId="0" applyNumberFormat="1" applyFont="1" applyFill="1" applyBorder="1" applyAlignment="1">
      <alignment horizontal="center" vertical="center" textRotation="90"/>
    </xf>
    <xf numFmtId="168" fontId="9" fillId="8" borderId="19" xfId="0" applyNumberFormat="1" applyFont="1" applyFill="1" applyBorder="1" applyAlignment="1">
      <alignment horizontal="center" vertical="center" textRotation="90"/>
    </xf>
    <xf numFmtId="1" fontId="9" fillId="8" borderId="23" xfId="0" applyNumberFormat="1" applyFont="1" applyFill="1" applyBorder="1" applyAlignment="1">
      <alignment horizontal="center" vertical="center" textRotation="90"/>
    </xf>
    <xf numFmtId="1" fontId="9" fillId="8" borderId="19" xfId="0" applyNumberFormat="1" applyFont="1" applyFill="1" applyBorder="1" applyAlignment="1">
      <alignment horizontal="center" vertical="center" textRotation="90"/>
    </xf>
    <xf numFmtId="168" fontId="2" fillId="0" borderId="22" xfId="0" applyNumberFormat="1" applyFont="1" applyBorder="1" applyAlignment="1">
      <alignment horizontal="center"/>
    </xf>
    <xf numFmtId="0" fontId="47" fillId="6" borderId="11" xfId="0" applyFont="1" applyFill="1" applyBorder="1" applyAlignment="1">
      <alignment horizontal="left" vertical="center" textRotation="90"/>
    </xf>
    <xf numFmtId="0" fontId="47" fillId="6" borderId="10" xfId="0" applyFont="1" applyFill="1" applyBorder="1" applyAlignment="1">
      <alignment horizontal="left" vertical="center" textRotation="90"/>
    </xf>
    <xf numFmtId="168" fontId="48" fillId="6" borderId="16" xfId="0" applyNumberFormat="1" applyFont="1" applyFill="1" applyBorder="1" applyAlignment="1">
      <alignment horizontal="left" textRotation="90"/>
    </xf>
    <xf numFmtId="1" fontId="48" fillId="14" borderId="4" xfId="0" applyNumberFormat="1" applyFont="1" applyFill="1" applyBorder="1" applyAlignment="1">
      <alignment horizontal="center" textRotation="90"/>
    </xf>
    <xf numFmtId="168" fontId="49" fillId="6" borderId="19" xfId="0" applyNumberFormat="1" applyFont="1" applyFill="1" applyBorder="1" applyAlignment="1">
      <alignment horizontal="left" textRotation="90"/>
    </xf>
    <xf numFmtId="1" fontId="48" fillId="6" borderId="21" xfId="0" applyNumberFormat="1" applyFont="1" applyFill="1" applyBorder="1" applyAlignment="1">
      <alignment horizontal="left" textRotation="90"/>
    </xf>
    <xf numFmtId="1" fontId="48" fillId="14" borderId="1" xfId="0" applyNumberFormat="1" applyFont="1" applyFill="1" applyBorder="1" applyAlignment="1">
      <alignment horizontal="center" textRotation="90"/>
    </xf>
    <xf numFmtId="1" fontId="49" fillId="6" borderId="18" xfId="0" applyNumberFormat="1" applyFont="1" applyFill="1" applyBorder="1" applyAlignment="1">
      <alignment horizontal="left" textRotation="90"/>
    </xf>
    <xf numFmtId="1" fontId="48" fillId="6" borderId="16" xfId="0" applyNumberFormat="1" applyFont="1" applyFill="1" applyBorder="1" applyAlignment="1">
      <alignment horizontal="left" textRotation="90"/>
    </xf>
    <xf numFmtId="1" fontId="48" fillId="6" borderId="18" xfId="0" applyNumberFormat="1" applyFont="1" applyFill="1" applyBorder="1" applyAlignment="1">
      <alignment horizontal="left" textRotation="90"/>
    </xf>
    <xf numFmtId="1" fontId="48" fillId="14" borderId="1" xfId="0" applyNumberFormat="1" applyFont="1" applyFill="1" applyBorder="1" applyAlignment="1">
      <alignment horizontal="left" textRotation="90"/>
    </xf>
    <xf numFmtId="1" fontId="48" fillId="6" borderId="0" xfId="0" applyNumberFormat="1" applyFont="1" applyFill="1" applyAlignment="1">
      <alignment horizontal="left" textRotation="90"/>
    </xf>
    <xf numFmtId="1" fontId="48" fillId="6" borderId="10" xfId="0" applyNumberFormat="1" applyFont="1" applyFill="1" applyBorder="1" applyAlignment="1">
      <alignment horizontal="left" textRotation="90"/>
    </xf>
    <xf numFmtId="168" fontId="50" fillId="6" borderId="27" xfId="0" applyNumberFormat="1" applyFont="1" applyFill="1" applyBorder="1" applyAlignment="1">
      <alignment horizontal="left" wrapText="1"/>
    </xf>
    <xf numFmtId="1" fontId="9" fillId="8" borderId="28" xfId="0" applyNumberFormat="1" applyFont="1" applyFill="1" applyBorder="1" applyAlignment="1">
      <alignment horizontal="center" vertical="center" textRotation="90"/>
    </xf>
    <xf numFmtId="1" fontId="9" fillId="8" borderId="30" xfId="0" applyNumberFormat="1" applyFont="1" applyFill="1" applyBorder="1" applyAlignment="1">
      <alignment horizontal="center" vertical="center" textRotation="90"/>
    </xf>
    <xf numFmtId="168" fontId="2" fillId="0" borderId="10" xfId="0" applyNumberFormat="1" applyFont="1" applyBorder="1" applyAlignment="1">
      <alignment horizontal="center"/>
    </xf>
    <xf numFmtId="1" fontId="9" fillId="8" borderId="29" xfId="0" applyNumberFormat="1" applyFont="1" applyFill="1" applyBorder="1" applyAlignment="1">
      <alignment horizontal="center" vertical="center" textRotation="90"/>
    </xf>
    <xf numFmtId="1" fontId="9" fillId="8" borderId="32" xfId="0" applyNumberFormat="1" applyFont="1" applyFill="1" applyBorder="1" applyAlignment="1">
      <alignment horizontal="center" vertical="center" textRotation="90"/>
    </xf>
    <xf numFmtId="1" fontId="9" fillId="14" borderId="31" xfId="0" applyNumberFormat="1" applyFont="1" applyFill="1" applyBorder="1" applyAlignment="1">
      <alignment horizontal="center" vertical="center" textRotation="90"/>
    </xf>
    <xf numFmtId="0" fontId="2" fillId="4" borderId="1" xfId="0" applyFont="1" applyFill="1" applyBorder="1" applyAlignment="1">
      <alignment horizontal="center"/>
    </xf>
    <xf numFmtId="4" fontId="0" fillId="0" borderId="10" xfId="0" applyNumberFormat="1" applyBorder="1"/>
    <xf numFmtId="4" fontId="0" fillId="0" borderId="15" xfId="0" applyNumberFormat="1" applyBorder="1"/>
    <xf numFmtId="43" fontId="29" fillId="0" borderId="0" xfId="0" applyNumberFormat="1" applyFont="1"/>
    <xf numFmtId="2" fontId="0" fillId="0" borderId="0" xfId="0" applyNumberFormat="1" applyAlignment="1">
      <alignment horizontal="center"/>
    </xf>
    <xf numFmtId="2" fontId="33" fillId="0" borderId="0" xfId="0" applyNumberFormat="1" applyFont="1"/>
    <xf numFmtId="171" fontId="52" fillId="0" borderId="0" xfId="0" applyNumberFormat="1" applyFont="1"/>
    <xf numFmtId="2" fontId="3" fillId="0" borderId="1" xfId="0" applyNumberFormat="1" applyFont="1" applyBorder="1"/>
    <xf numFmtId="171" fontId="3" fillId="0" borderId="1" xfId="0" applyNumberFormat="1" applyFont="1" applyBorder="1"/>
    <xf numFmtId="4" fontId="0" fillId="0" borderId="2" xfId="0" applyNumberFormat="1" applyBorder="1"/>
    <xf numFmtId="0" fontId="2" fillId="15" borderId="1" xfId="0" applyFont="1" applyFill="1" applyBorder="1" applyAlignment="1">
      <alignment horizontal="center" vertical="center" wrapText="1"/>
    </xf>
    <xf numFmtId="2" fontId="11" fillId="0" borderId="0" xfId="0" applyNumberFormat="1" applyFont="1" applyAlignment="1">
      <alignment horizontal="center" vertical="center" textRotation="90"/>
    </xf>
    <xf numFmtId="4" fontId="0" fillId="0" borderId="0" xfId="0" applyNumberFormat="1"/>
    <xf numFmtId="168" fontId="54" fillId="0" borderId="0" xfId="0" applyNumberFormat="1" applyFont="1"/>
    <xf numFmtId="0" fontId="6" fillId="0" borderId="0" xfId="0" applyFont="1" applyAlignment="1">
      <alignment horizontal="left"/>
    </xf>
    <xf numFmtId="0" fontId="55" fillId="0" borderId="0" xfId="0" applyFont="1" applyAlignment="1">
      <alignment vertical="top" wrapText="1"/>
    </xf>
    <xf numFmtId="0" fontId="21" fillId="0" borderId="0" xfId="0" applyFont="1"/>
    <xf numFmtId="0" fontId="56" fillId="0" borderId="0" xfId="0" applyFont="1"/>
    <xf numFmtId="0" fontId="57" fillId="0" borderId="0" xfId="0" applyFont="1"/>
    <xf numFmtId="0" fontId="19" fillId="0" borderId="0" xfId="0" applyFont="1" applyAlignment="1">
      <alignment horizontal="center"/>
    </xf>
    <xf numFmtId="0" fontId="22" fillId="0" borderId="0" xfId="0" applyFont="1" applyAlignment="1">
      <alignment vertical="top" wrapText="1"/>
    </xf>
    <xf numFmtId="166" fontId="3" fillId="0" borderId="0" xfId="0" applyNumberFormat="1" applyFont="1"/>
    <xf numFmtId="0" fontId="32" fillId="2" borderId="1" xfId="0" applyFont="1" applyFill="1" applyBorder="1" applyAlignment="1">
      <alignment horizontal="center" vertical="center" wrapText="1"/>
    </xf>
    <xf numFmtId="0" fontId="12" fillId="0" borderId="0" xfId="0" applyFont="1"/>
    <xf numFmtId="172" fontId="4" fillId="0" borderId="0" xfId="0" applyNumberFormat="1" applyFont="1"/>
    <xf numFmtId="172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68" fontId="36" fillId="0" borderId="18" xfId="0" applyNumberFormat="1" applyFont="1" applyBorder="1" applyAlignment="1">
      <alignment horizontal="center" vertical="center"/>
    </xf>
    <xf numFmtId="0" fontId="41" fillId="2" borderId="0" xfId="0" applyFont="1" applyFill="1" applyAlignment="1">
      <alignment horizontal="center"/>
    </xf>
    <xf numFmtId="0" fontId="58" fillId="0" borderId="1" xfId="0" applyFont="1" applyBorder="1" applyAlignment="1">
      <alignment horizontal="center"/>
    </xf>
    <xf numFmtId="2" fontId="59" fillId="0" borderId="1" xfId="0" applyNumberFormat="1" applyFont="1" applyBorder="1"/>
    <xf numFmtId="0" fontId="0" fillId="12" borderId="0" xfId="0" applyFill="1"/>
    <xf numFmtId="4" fontId="0" fillId="3" borderId="10" xfId="0" quotePrefix="1" applyNumberFormat="1" applyFill="1" applyBorder="1"/>
    <xf numFmtId="173" fontId="4" fillId="0" borderId="0" xfId="0" applyNumberFormat="1" applyFont="1" applyAlignment="1">
      <alignment horizontal="center"/>
    </xf>
    <xf numFmtId="173" fontId="55" fillId="0" borderId="1" xfId="0" applyNumberFormat="1" applyFont="1" applyBorder="1" applyAlignment="1">
      <alignment horizontal="center" vertical="center" wrapText="1"/>
    </xf>
    <xf numFmtId="173" fontId="22" fillId="0" borderId="0" xfId="0" applyNumberFormat="1" applyFont="1" applyAlignment="1">
      <alignment vertical="top" wrapText="1"/>
    </xf>
    <xf numFmtId="0" fontId="60" fillId="0" borderId="0" xfId="0" applyFont="1"/>
    <xf numFmtId="0" fontId="61" fillId="0" borderId="0" xfId="0" applyFont="1"/>
    <xf numFmtId="0" fontId="60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168" fontId="63" fillId="0" borderId="0" xfId="0" applyNumberFormat="1" applyFont="1"/>
    <xf numFmtId="0" fontId="65" fillId="0" borderId="0" xfId="0" applyFont="1"/>
    <xf numFmtId="0" fontId="60" fillId="0" borderId="0" xfId="0" applyFont="1" applyAlignment="1">
      <alignment horizontal="justify" vertical="justify"/>
    </xf>
    <xf numFmtId="167" fontId="60" fillId="0" borderId="0" xfId="0" applyNumberFormat="1" applyFont="1" applyAlignment="1">
      <alignment horizontal="right" vertical="justify"/>
    </xf>
    <xf numFmtId="4" fontId="0" fillId="0" borderId="4" xfId="0" applyNumberFormat="1" applyBorder="1"/>
    <xf numFmtId="0" fontId="3" fillId="16" borderId="1" xfId="0" applyFont="1" applyFill="1" applyBorder="1" applyAlignment="1">
      <alignment horizontal="center"/>
    </xf>
    <xf numFmtId="43" fontId="3" fillId="17" borderId="1" xfId="0" applyNumberFormat="1" applyFont="1" applyFill="1" applyBorder="1"/>
    <xf numFmtId="0" fontId="32" fillId="4" borderId="1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right"/>
    </xf>
    <xf numFmtId="0" fontId="68" fillId="0" borderId="0" xfId="0" applyFont="1"/>
    <xf numFmtId="0" fontId="69" fillId="0" borderId="0" xfId="0" applyFont="1"/>
    <xf numFmtId="168" fontId="2" fillId="0" borderId="0" xfId="0" applyNumberFormat="1" applyFont="1"/>
    <xf numFmtId="43" fontId="33" fillId="17" borderId="1" xfId="0" applyNumberFormat="1" applyFont="1" applyFill="1" applyBorder="1"/>
    <xf numFmtId="0" fontId="46" fillId="0" borderId="0" xfId="0" applyFont="1"/>
    <xf numFmtId="0" fontId="70" fillId="0" borderId="0" xfId="0" applyFont="1" applyAlignment="1">
      <alignment vertical="top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right"/>
    </xf>
    <xf numFmtId="15" fontId="72" fillId="0" borderId="0" xfId="0" applyNumberFormat="1" applyFont="1"/>
    <xf numFmtId="0" fontId="73" fillId="0" borderId="0" xfId="0" applyFont="1"/>
    <xf numFmtId="173" fontId="72" fillId="0" borderId="1" xfId="0" applyNumberFormat="1" applyFont="1" applyBorder="1" applyAlignment="1">
      <alignment horizontal="center"/>
    </xf>
    <xf numFmtId="0" fontId="72" fillId="0" borderId="0" xfId="0" applyFont="1"/>
    <xf numFmtId="172" fontId="72" fillId="0" borderId="0" xfId="0" applyNumberFormat="1" applyFont="1" applyAlignment="1">
      <alignment horizontal="center"/>
    </xf>
    <xf numFmtId="0" fontId="74" fillId="0" borderId="0" xfId="0" applyFont="1" applyAlignment="1">
      <alignment horizontal="center"/>
    </xf>
    <xf numFmtId="0" fontId="75" fillId="0" borderId="0" xfId="0" applyFont="1"/>
    <xf numFmtId="0" fontId="76" fillId="4" borderId="33" xfId="0" applyFont="1" applyFill="1" applyBorder="1" applyAlignment="1">
      <alignment horizontal="center" vertical="center" textRotation="90" wrapText="1"/>
    </xf>
    <xf numFmtId="0" fontId="76" fillId="4" borderId="34" xfId="0" applyFont="1" applyFill="1" applyBorder="1" applyAlignment="1">
      <alignment horizontal="center" vertical="center" textRotation="90"/>
    </xf>
    <xf numFmtId="0" fontId="77" fillId="4" borderId="35" xfId="0" applyFont="1" applyFill="1" applyBorder="1" applyAlignment="1">
      <alignment horizontal="center" vertical="center" textRotation="90"/>
    </xf>
    <xf numFmtId="0" fontId="71" fillId="0" borderId="0" xfId="0" applyFont="1" applyAlignment="1">
      <alignment vertical="center"/>
    </xf>
    <xf numFmtId="0" fontId="76" fillId="0" borderId="17" xfId="0" applyFont="1" applyBorder="1" applyAlignment="1">
      <alignment horizontal="center" vertical="center"/>
    </xf>
    <xf numFmtId="0" fontId="76" fillId="0" borderId="10" xfId="0" applyFont="1" applyBorder="1" applyAlignment="1">
      <alignment horizontal="center" vertical="center"/>
    </xf>
    <xf numFmtId="168" fontId="78" fillId="0" borderId="22" xfId="0" applyNumberFormat="1" applyFont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/>
    </xf>
    <xf numFmtId="168" fontId="78" fillId="0" borderId="39" xfId="0" applyNumberFormat="1" applyFont="1" applyBorder="1" applyAlignment="1">
      <alignment horizontal="center" vertical="center"/>
    </xf>
    <xf numFmtId="0" fontId="79" fillId="0" borderId="17" xfId="0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0" fontId="76" fillId="0" borderId="36" xfId="0" applyFont="1" applyBorder="1" applyAlignment="1">
      <alignment horizontal="center" vertical="center"/>
    </xf>
    <xf numFmtId="0" fontId="76" fillId="0" borderId="38" xfId="0" applyFont="1" applyBorder="1" applyAlignment="1">
      <alignment horizontal="center" vertical="center"/>
    </xf>
    <xf numFmtId="168" fontId="78" fillId="0" borderId="40" xfId="0" applyNumberFormat="1" applyFont="1" applyBorder="1" applyAlignment="1">
      <alignment horizontal="center" vertical="center"/>
    </xf>
    <xf numFmtId="0" fontId="80" fillId="0" borderId="0" xfId="0" applyFont="1"/>
    <xf numFmtId="0" fontId="72" fillId="0" borderId="0" xfId="0" applyFont="1" applyAlignment="1">
      <alignment vertical="top"/>
    </xf>
    <xf numFmtId="43" fontId="51" fillId="17" borderId="1" xfId="0" applyNumberFormat="1" applyFont="1" applyFill="1" applyBorder="1"/>
    <xf numFmtId="168" fontId="9" fillId="5" borderId="22" xfId="0" applyNumberFormat="1" applyFont="1" applyFill="1" applyBorder="1" applyAlignment="1">
      <alignment horizontal="center" vertical="center" wrapText="1"/>
    </xf>
    <xf numFmtId="43" fontId="52" fillId="0" borderId="0" xfId="0" applyNumberFormat="1" applyFont="1"/>
    <xf numFmtId="0" fontId="0" fillId="18" borderId="1" xfId="0" applyFill="1" applyBorder="1" applyAlignment="1">
      <alignment horizontal="center" vertical="center"/>
    </xf>
    <xf numFmtId="0" fontId="0" fillId="18" borderId="1" xfId="0" applyFill="1" applyBorder="1"/>
    <xf numFmtId="0" fontId="2" fillId="18" borderId="1" xfId="0" applyFont="1" applyFill="1" applyBorder="1" applyAlignment="1">
      <alignment horizontal="center" vertical="center" wrapText="1"/>
    </xf>
    <xf numFmtId="0" fontId="0" fillId="15" borderId="1" xfId="0" applyFill="1" applyBorder="1"/>
    <xf numFmtId="43" fontId="52" fillId="17" borderId="1" xfId="0" applyNumberFormat="1" applyFont="1" applyFill="1" applyBorder="1"/>
    <xf numFmtId="174" fontId="3" fillId="0" borderId="1" xfId="0" applyNumberFormat="1" applyFont="1" applyBorder="1"/>
    <xf numFmtId="1" fontId="0" fillId="0" borderId="1" xfId="0" applyNumberFormat="1" applyBorder="1" applyAlignment="1">
      <alignment horizontal="center"/>
    </xf>
    <xf numFmtId="0" fontId="2" fillId="8" borderId="1" xfId="0" applyFont="1" applyFill="1" applyBorder="1" applyAlignment="1">
      <alignment horizontal="center" vertical="center" wrapText="1"/>
    </xf>
    <xf numFmtId="43" fontId="0" fillId="10" borderId="1" xfId="0" applyNumberFormat="1" applyFill="1" applyBorder="1"/>
    <xf numFmtId="174" fontId="0" fillId="0" borderId="0" xfId="0" applyNumberFormat="1"/>
    <xf numFmtId="175" fontId="0" fillId="0" borderId="0" xfId="0" applyNumberFormat="1"/>
    <xf numFmtId="174" fontId="0" fillId="0" borderId="1" xfId="0" applyNumberFormat="1" applyBorder="1"/>
    <xf numFmtId="174" fontId="38" fillId="0" borderId="0" xfId="0" applyNumberFormat="1" applyFont="1"/>
    <xf numFmtId="0" fontId="46" fillId="12" borderId="15" xfId="0" applyFont="1" applyFill="1" applyBorder="1"/>
    <xf numFmtId="0" fontId="46" fillId="12" borderId="12" xfId="0" applyFont="1" applyFill="1" applyBorder="1"/>
    <xf numFmtId="0" fontId="46" fillId="12" borderId="9" xfId="0" applyFont="1" applyFill="1" applyBorder="1"/>
    <xf numFmtId="0" fontId="46" fillId="12" borderId="0" xfId="0" applyFont="1" applyFill="1"/>
    <xf numFmtId="0" fontId="46" fillId="12" borderId="13" xfId="0" applyFont="1" applyFill="1" applyBorder="1"/>
    <xf numFmtId="0" fontId="46" fillId="12" borderId="10" xfId="0" applyFont="1" applyFill="1" applyBorder="1" applyAlignment="1">
      <alignment horizontal="center"/>
    </xf>
    <xf numFmtId="0" fontId="46" fillId="12" borderId="0" xfId="0" applyFont="1" applyFill="1" applyAlignment="1">
      <alignment horizontal="center"/>
    </xf>
    <xf numFmtId="0" fontId="46" fillId="12" borderId="4" xfId="0" applyFont="1" applyFill="1" applyBorder="1" applyAlignment="1">
      <alignment horizontal="center"/>
    </xf>
    <xf numFmtId="0" fontId="46" fillId="12" borderId="42" xfId="0" applyFont="1" applyFill="1" applyBorder="1" applyAlignment="1">
      <alignment horizontal="center"/>
    </xf>
    <xf numFmtId="173" fontId="46" fillId="12" borderId="0" xfId="0" applyNumberFormat="1" applyFont="1" applyFill="1" applyAlignment="1">
      <alignment horizontal="center"/>
    </xf>
    <xf numFmtId="173" fontId="46" fillId="12" borderId="10" xfId="0" applyNumberFormat="1" applyFont="1" applyFill="1" applyBorder="1" applyAlignment="1">
      <alignment horizontal="center"/>
    </xf>
    <xf numFmtId="0" fontId="42" fillId="4" borderId="3" xfId="0" applyFont="1" applyFill="1" applyBorder="1" applyAlignment="1">
      <alignment horizontal="center"/>
    </xf>
    <xf numFmtId="0" fontId="46" fillId="12" borderId="30" xfId="0" applyFont="1" applyFill="1" applyBorder="1"/>
    <xf numFmtId="0" fontId="46" fillId="12" borderId="14" xfId="0" applyFont="1" applyFill="1" applyBorder="1"/>
    <xf numFmtId="0" fontId="46" fillId="12" borderId="28" xfId="0" applyFont="1" applyFill="1" applyBorder="1"/>
    <xf numFmtId="0" fontId="0" fillId="12" borderId="0" xfId="0" applyFill="1" applyAlignment="1">
      <alignment horizontal="left" indent="1"/>
    </xf>
    <xf numFmtId="167" fontId="69" fillId="0" borderId="0" xfId="0" applyNumberFormat="1" applyFont="1"/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right"/>
    </xf>
    <xf numFmtId="167" fontId="65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1" fontId="13" fillId="6" borderId="18" xfId="0" applyNumberFormat="1" applyFont="1" applyFill="1" applyBorder="1" applyAlignment="1">
      <alignment horizontal="left" textRotation="90"/>
    </xf>
    <xf numFmtId="168" fontId="2" fillId="0" borderId="0" xfId="0" applyNumberFormat="1" applyFont="1" applyAlignment="1">
      <alignment horizontal="center"/>
    </xf>
    <xf numFmtId="1" fontId="13" fillId="6" borderId="10" xfId="0" applyNumberFormat="1" applyFont="1" applyFill="1" applyBorder="1" applyAlignment="1">
      <alignment horizontal="left" textRotation="90"/>
    </xf>
    <xf numFmtId="168" fontId="2" fillId="0" borderId="15" xfId="0" applyNumberFormat="1" applyFont="1" applyBorder="1" applyAlignment="1">
      <alignment horizontal="center"/>
    </xf>
    <xf numFmtId="0" fontId="91" fillId="0" borderId="0" xfId="0" applyFont="1"/>
    <xf numFmtId="177" fontId="94" fillId="0" borderId="0" xfId="0" applyNumberFormat="1" applyFont="1"/>
    <xf numFmtId="15" fontId="66" fillId="0" borderId="0" xfId="0" applyNumberFormat="1" applyFont="1"/>
    <xf numFmtId="0" fontId="73" fillId="0" borderId="0" xfId="0" applyFont="1" applyAlignment="1">
      <alignment horizontal="center"/>
    </xf>
    <xf numFmtId="0" fontId="73" fillId="2" borderId="1" xfId="0" applyFont="1" applyFill="1" applyBorder="1" applyAlignment="1">
      <alignment horizontal="center"/>
    </xf>
    <xf numFmtId="0" fontId="82" fillId="0" borderId="0" xfId="1" applyFont="1" applyAlignment="1">
      <alignment horizontal="center" vertical="top" wrapText="1"/>
    </xf>
    <xf numFmtId="0" fontId="73" fillId="2" borderId="10" xfId="0" applyFont="1" applyFill="1" applyBorder="1" applyAlignment="1">
      <alignment horizontal="center"/>
    </xf>
    <xf numFmtId="0" fontId="73" fillId="2" borderId="41" xfId="0" applyFont="1" applyFill="1" applyBorder="1" applyAlignment="1">
      <alignment horizontal="center"/>
    </xf>
    <xf numFmtId="0" fontId="73" fillId="2" borderId="11" xfId="0" applyFont="1" applyFill="1" applyBorder="1" applyAlignment="1">
      <alignment horizontal="center"/>
    </xf>
    <xf numFmtId="177" fontId="94" fillId="0" borderId="0" xfId="0" applyNumberFormat="1" applyFont="1" applyAlignment="1">
      <alignment horizontal="center"/>
    </xf>
    <xf numFmtId="9" fontId="69" fillId="21" borderId="0" xfId="0" applyNumberFormat="1" applyFont="1" applyFill="1" applyAlignment="1">
      <alignment horizontal="center"/>
    </xf>
    <xf numFmtId="0" fontId="90" fillId="2" borderId="0" xfId="0" applyFont="1" applyFill="1" applyAlignment="1">
      <alignment horizontal="center"/>
    </xf>
    <xf numFmtId="0" fontId="90" fillId="0" borderId="0" xfId="0" applyFont="1" applyAlignment="1">
      <alignment horizontal="center"/>
    </xf>
    <xf numFmtId="9" fontId="69" fillId="3" borderId="0" xfId="0" applyNumberFormat="1" applyFont="1" applyFill="1" applyAlignment="1">
      <alignment horizontal="center"/>
    </xf>
    <xf numFmtId="9" fontId="69" fillId="20" borderId="0" xfId="0" applyNumberFormat="1" applyFont="1" applyFill="1" applyAlignment="1">
      <alignment horizontal="center"/>
    </xf>
    <xf numFmtId="0" fontId="60" fillId="0" borderId="0" xfId="0" applyFont="1" applyAlignment="1">
      <alignment horizontal="center"/>
    </xf>
    <xf numFmtId="0" fontId="80" fillId="0" borderId="5" xfId="0" applyFont="1" applyBorder="1" applyAlignment="1">
      <alignment horizontal="center" vertical="center" wrapText="1"/>
    </xf>
    <xf numFmtId="0" fontId="80" fillId="0" borderId="6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2" fillId="0" borderId="0" xfId="0" applyFont="1" applyAlignment="1">
      <alignment horizontal="right"/>
    </xf>
    <xf numFmtId="172" fontId="71" fillId="0" borderId="0" xfId="0" applyNumberFormat="1" applyFont="1" applyAlignment="1">
      <alignment horizontal="center"/>
    </xf>
    <xf numFmtId="15" fontId="79" fillId="0" borderId="0" xfId="0" applyNumberFormat="1" applyFont="1" applyAlignment="1">
      <alignment horizontal="center"/>
    </xf>
    <xf numFmtId="0" fontId="72" fillId="0" borderId="1" xfId="0" applyFont="1" applyBorder="1" applyAlignment="1">
      <alignment horizontal="center"/>
    </xf>
    <xf numFmtId="177" fontId="95" fillId="0" borderId="0" xfId="0" applyNumberFormat="1" applyFont="1" applyAlignment="1">
      <alignment horizontal="center"/>
    </xf>
    <xf numFmtId="15" fontId="66" fillId="0" borderId="0" xfId="0" applyNumberFormat="1" applyFont="1" applyAlignment="1">
      <alignment horizontal="center"/>
    </xf>
    <xf numFmtId="0" fontId="64" fillId="0" borderId="0" xfId="0" applyFont="1" applyAlignment="1">
      <alignment horizontal="center"/>
    </xf>
    <xf numFmtId="0" fontId="70" fillId="0" borderId="0" xfId="0" applyFont="1" applyAlignment="1">
      <alignment horizontal="left" vertical="top" wrapText="1"/>
    </xf>
    <xf numFmtId="0" fontId="84" fillId="2" borderId="10" xfId="0" applyFont="1" applyFill="1" applyBorder="1" applyAlignment="1">
      <alignment horizontal="center" wrapText="1"/>
    </xf>
    <xf numFmtId="0" fontId="84" fillId="2" borderId="41" xfId="0" applyFont="1" applyFill="1" applyBorder="1" applyAlignment="1">
      <alignment horizontal="center"/>
    </xf>
    <xf numFmtId="0" fontId="89" fillId="19" borderId="0" xfId="0" applyFont="1" applyFill="1" applyAlignment="1">
      <alignment horizontal="left"/>
    </xf>
    <xf numFmtId="0" fontId="33" fillId="2" borderId="0" xfId="0" applyFont="1" applyFill="1" applyAlignment="1">
      <alignment horizontal="left"/>
    </xf>
    <xf numFmtId="0" fontId="85" fillId="2" borderId="0" xfId="0" applyFont="1" applyFill="1" applyAlignment="1">
      <alignment horizontal="left"/>
    </xf>
    <xf numFmtId="0" fontId="15" fillId="0" borderId="14" xfId="0" applyFont="1" applyBorder="1" applyAlignment="1">
      <alignment horizontal="center"/>
    </xf>
    <xf numFmtId="1" fontId="15" fillId="14" borderId="5" xfId="0" applyNumberFormat="1" applyFont="1" applyFill="1" applyBorder="1" applyAlignment="1">
      <alignment horizontal="center" vertical="center"/>
    </xf>
    <xf numFmtId="1" fontId="15" fillId="14" borderId="6" xfId="0" applyNumberFormat="1" applyFont="1" applyFill="1" applyBorder="1" applyAlignment="1">
      <alignment horizontal="center" vertical="center"/>
    </xf>
    <xf numFmtId="1" fontId="15" fillId="14" borderId="7" xfId="0" applyNumberFormat="1" applyFont="1" applyFill="1" applyBorder="1" applyAlignment="1">
      <alignment horizontal="center" vertical="center"/>
    </xf>
    <xf numFmtId="1" fontId="15" fillId="14" borderId="24" xfId="0" applyNumberFormat="1" applyFont="1" applyFill="1" applyBorder="1" applyAlignment="1">
      <alignment horizontal="center" vertical="center"/>
    </xf>
    <xf numFmtId="1" fontId="15" fillId="14" borderId="25" xfId="0" applyNumberFormat="1" applyFont="1" applyFill="1" applyBorder="1" applyAlignment="1">
      <alignment horizontal="center" vertical="center"/>
    </xf>
    <xf numFmtId="1" fontId="15" fillId="14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7" borderId="0" xfId="0" applyFill="1" applyAlignment="1">
      <alignment horizontal="center"/>
    </xf>
    <xf numFmtId="0" fontId="0" fillId="0" borderId="13" xfId="0" applyBorder="1" applyAlignment="1">
      <alignment horizontal="center"/>
    </xf>
    <xf numFmtId="0" fontId="2" fillId="0" borderId="1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0" fontId="0" fillId="9" borderId="13" xfId="0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11" xfId="0" applyBorder="1" applyAlignment="1">
      <alignment horizontal="right"/>
    </xf>
    <xf numFmtId="0" fontId="12" fillId="5" borderId="1" xfId="0" applyFont="1" applyFill="1" applyBorder="1" applyAlignment="1">
      <alignment horizontal="center"/>
    </xf>
    <xf numFmtId="0" fontId="0" fillId="12" borderId="8" xfId="0" applyFill="1" applyBorder="1" applyAlignment="1">
      <alignment horizontal="center" wrapText="1"/>
    </xf>
    <xf numFmtId="0" fontId="0" fillId="12" borderId="4" xfId="0" applyFill="1" applyBorder="1" applyAlignment="1">
      <alignment horizontal="center" wrapText="1"/>
    </xf>
    <xf numFmtId="164" fontId="87" fillId="12" borderId="1" xfId="0" applyNumberFormat="1" applyFont="1" applyFill="1" applyBorder="1" applyAlignment="1">
      <alignment horizontal="center"/>
    </xf>
    <xf numFmtId="0" fontId="43" fillId="12" borderId="1" xfId="0" applyFont="1" applyFill="1" applyBorder="1" applyAlignment="1">
      <alignment horizontal="center"/>
    </xf>
    <xf numFmtId="176" fontId="43" fillId="4" borderId="24" xfId="0" applyNumberFormat="1" applyFont="1" applyFill="1" applyBorder="1" applyAlignment="1">
      <alignment horizontal="center"/>
    </xf>
    <xf numFmtId="176" fontId="43" fillId="4" borderId="26" xfId="0" applyNumberFormat="1" applyFont="1" applyFill="1" applyBorder="1" applyAlignment="1">
      <alignment horizontal="center"/>
    </xf>
    <xf numFmtId="0" fontId="46" fillId="12" borderId="0" xfId="0" applyFont="1" applyFill="1" applyAlignment="1">
      <alignment horizontal="left"/>
    </xf>
    <xf numFmtId="0" fontId="43" fillId="12" borderId="10" xfId="0" applyFont="1" applyFill="1" applyBorder="1" applyAlignment="1">
      <alignment horizontal="center"/>
    </xf>
    <xf numFmtId="0" fontId="43" fillId="12" borderId="41" xfId="0" applyFont="1" applyFill="1" applyBorder="1" applyAlignment="1">
      <alignment horizontal="center"/>
    </xf>
    <xf numFmtId="0" fontId="43" fillId="12" borderId="11" xfId="0" applyFont="1" applyFill="1" applyBorder="1" applyAlignment="1">
      <alignment horizontal="center"/>
    </xf>
    <xf numFmtId="0" fontId="86" fillId="12" borderId="37" xfId="0" applyFont="1" applyFill="1" applyBorder="1" applyAlignment="1">
      <alignment horizontal="center"/>
    </xf>
    <xf numFmtId="0" fontId="87" fillId="12" borderId="9" xfId="0" applyFont="1" applyFill="1" applyBorder="1" applyAlignment="1">
      <alignment horizontal="left" vertical="center" wrapText="1"/>
    </xf>
    <xf numFmtId="0" fontId="87" fillId="12" borderId="0" xfId="0" applyFont="1" applyFill="1" applyAlignment="1">
      <alignment horizontal="left" vertical="center" wrapText="1"/>
    </xf>
    <xf numFmtId="0" fontId="87" fillId="12" borderId="13" xfId="0" applyFont="1" applyFill="1" applyBorder="1" applyAlignment="1">
      <alignment horizontal="left" vertical="center" wrapText="1"/>
    </xf>
    <xf numFmtId="0" fontId="87" fillId="12" borderId="30" xfId="0" applyFont="1" applyFill="1" applyBorder="1" applyAlignment="1">
      <alignment horizontal="left" vertical="center" wrapText="1"/>
    </xf>
    <xf numFmtId="0" fontId="87" fillId="12" borderId="14" xfId="0" applyFont="1" applyFill="1" applyBorder="1" applyAlignment="1">
      <alignment horizontal="left" vertical="center" wrapText="1"/>
    </xf>
    <xf numFmtId="0" fontId="87" fillId="12" borderId="28" xfId="0" applyFont="1" applyFill="1" applyBorder="1" applyAlignment="1">
      <alignment horizontal="left" vertical="center" wrapText="1"/>
    </xf>
    <xf numFmtId="0" fontId="87" fillId="12" borderId="10" xfId="0" applyFont="1" applyFill="1" applyBorder="1" applyAlignment="1">
      <alignment horizontal="justify" wrapText="1"/>
    </xf>
    <xf numFmtId="0" fontId="87" fillId="12" borderId="41" xfId="0" applyFont="1" applyFill="1" applyBorder="1" applyAlignment="1">
      <alignment horizontal="justify" wrapText="1"/>
    </xf>
    <xf numFmtId="0" fontId="87" fillId="12" borderId="11" xfId="0" applyFont="1" applyFill="1" applyBorder="1" applyAlignment="1">
      <alignment horizontal="justify" wrapText="1"/>
    </xf>
    <xf numFmtId="0" fontId="87" fillId="12" borderId="1" xfId="0" applyFont="1" applyFill="1" applyBorder="1" applyAlignment="1">
      <alignment horizontal="right"/>
    </xf>
    <xf numFmtId="0" fontId="87" fillId="12" borderId="8" xfId="0" applyFont="1" applyFill="1" applyBorder="1" applyAlignment="1">
      <alignment horizontal="right"/>
    </xf>
    <xf numFmtId="164" fontId="87" fillId="12" borderId="8" xfId="0" applyNumberFormat="1" applyFont="1" applyFill="1" applyBorder="1" applyAlignment="1">
      <alignment horizontal="center"/>
    </xf>
    <xf numFmtId="164" fontId="43" fillId="0" borderId="24" xfId="0" applyNumberFormat="1" applyFont="1" applyBorder="1" applyAlignment="1">
      <alignment horizontal="center"/>
    </xf>
    <xf numFmtId="164" fontId="43" fillId="0" borderId="26" xfId="0" applyNumberFormat="1" applyFont="1" applyBorder="1" applyAlignment="1">
      <alignment horizontal="center"/>
    </xf>
    <xf numFmtId="0" fontId="43" fillId="12" borderId="24" xfId="0" applyFont="1" applyFill="1" applyBorder="1" applyAlignment="1">
      <alignment horizontal="center"/>
    </xf>
    <xf numFmtId="0" fontId="43" fillId="12" borderId="26" xfId="0" applyFont="1" applyFill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justify" wrapText="1"/>
    </xf>
    <xf numFmtId="0" fontId="4" fillId="0" borderId="13" xfId="0" applyFont="1" applyBorder="1" applyAlignment="1">
      <alignment horizontal="center" wrapText="1"/>
    </xf>
    <xf numFmtId="0" fontId="55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01"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ill>
        <patternFill>
          <bgColor rgb="FFFFFF00"/>
        </patternFill>
      </fill>
    </dxf>
    <dxf>
      <numFmt numFmtId="0" formatCode="General"/>
      <fill>
        <patternFill>
          <bgColor theme="0"/>
        </patternFill>
      </fill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auto="1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auto="1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auto="1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auto="1"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8" formatCode="#,##0.00;[Red]#,##0.00"/>
      <fill>
        <patternFill patternType="none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/>
        <bottom/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/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 style="thin">
          <color indexed="64"/>
        </vertical>
        <horizontal style="thin">
          <color auto="1"/>
        </horizontal>
      </border>
    </dxf>
    <dxf>
      <font>
        <b/>
      </font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8" formatCode="#,##0.00;[Red]#,##0.00"/>
      <fill>
        <patternFill patternType="solid">
          <fgColor indexed="64"/>
          <bgColor rgb="FFA3FDF4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8" formatCode="#,##0.00;[Red]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left" vertical="bottom" textRotation="9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A3FDF4"/>
      <color rgb="FFCCECFF"/>
      <color rgb="FFE0E0E0"/>
      <color rgb="FF99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b="1"/>
              <a:t>Cuota</a:t>
            </a:r>
            <a:r>
              <a:rPr lang="es-PE" b="1" baseline="0"/>
              <a:t> Mantenimiento 2025</a:t>
            </a:r>
            <a:endParaRPr lang="es-PE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BCA3-44D5-8DFA-699A48959DE9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76200"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BCA3-44D5-8DFA-699A48959DE9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0-4339-B4A8-BDD6BBC5D260}"/>
              </c:ext>
            </c:extLst>
          </c:dPt>
          <c:dLbls>
            <c:dLbl>
              <c:idx val="0"/>
              <c:layout>
                <c:manualLayout>
                  <c:x val="2.4799495105712197E-2"/>
                  <c:y val="-8.0454753070427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3-44D5-8DFA-699A48959DE9}"/>
                </c:ext>
              </c:extLst>
            </c:dLbl>
            <c:dLbl>
              <c:idx val="1"/>
              <c:layout>
                <c:manualLayout>
                  <c:x val="1.9839596084569793E-2"/>
                  <c:y val="7.374933835590700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3-44D5-8DFA-699A48959DE9}"/>
                </c:ext>
              </c:extLst>
            </c:dLbl>
            <c:dLbl>
              <c:idx val="2"/>
              <c:layout>
                <c:manualLayout>
                  <c:x val="-0.13207551094206238"/>
                  <c:y val="-1.9588154167397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254737261844381"/>
                      <c:h val="8.46611730044502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C970-4339-B4A8-BDD6BBC5D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'Cuota Mes'!$S$42:$S$44</c:f>
              <c:numCache>
                <c:formatCode>General</c:formatCode>
                <c:ptCount val="3"/>
              </c:numCache>
            </c:numRef>
          </c:cat>
          <c:val>
            <c:numRef>
              <c:f>'Cuota Mes'!$T$42:$T$44</c:f>
              <c:numCache>
                <c:formatCode>#,##0;[Red]#,##0</c:formatCode>
                <c:ptCount val="3"/>
                <c:pt idx="0" formatCode="General">
                  <c:v>15</c:v>
                </c:pt>
                <c:pt idx="1">
                  <c:v>68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3-44D5-8DFA-699A48959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'Ene 25'!$I$163:$I$182</c:f>
              <c:numCache>
                <c:formatCode>_(* #,##0.00_);_(* \(#,##0.00\);_(* "-"??_);_(@_)</c:formatCode>
                <c:ptCount val="20"/>
                <c:pt idx="0">
                  <c:v>35.24006078077268</c:v>
                </c:pt>
                <c:pt idx="1">
                  <c:v>41.980599173937804</c:v>
                </c:pt>
                <c:pt idx="2">
                  <c:v>13.512821865104966</c:v>
                </c:pt>
                <c:pt idx="3">
                  <c:v>47.740063465922354</c:v>
                </c:pt>
                <c:pt idx="4">
                  <c:v>21.718168893160652</c:v>
                </c:pt>
                <c:pt idx="5">
                  <c:v>27.10122725110212</c:v>
                </c:pt>
                <c:pt idx="6">
                  <c:v>15.152984268465399</c:v>
                </c:pt>
                <c:pt idx="7">
                  <c:v>24.061258040818409</c:v>
                </c:pt>
                <c:pt idx="8">
                  <c:v>19.364498052577986</c:v>
                </c:pt>
                <c:pt idx="9">
                  <c:v>17.647240457907525</c:v>
                </c:pt>
                <c:pt idx="10">
                  <c:v>19.118095774469463</c:v>
                </c:pt>
                <c:pt idx="11">
                  <c:v>40.83475299721227</c:v>
                </c:pt>
                <c:pt idx="12">
                  <c:v>13.617127123936184</c:v>
                </c:pt>
                <c:pt idx="13">
                  <c:v>12.731288259079767</c:v>
                </c:pt>
                <c:pt idx="14">
                  <c:v>25.999219516494055</c:v>
                </c:pt>
                <c:pt idx="15">
                  <c:v>13.467471752569656</c:v>
                </c:pt>
                <c:pt idx="16">
                  <c:v>37.811412161524842</c:v>
                </c:pt>
                <c:pt idx="17">
                  <c:v>31.482048122013204</c:v>
                </c:pt>
                <c:pt idx="18">
                  <c:v>13.787945881152524</c:v>
                </c:pt>
                <c:pt idx="19">
                  <c:v>31.424604646135144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6-4247-9481-AD7BE388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'Nov 25'!$I$163:$I$182</c:f>
              <c:numCache>
                <c:formatCode>_(* #,##0.00_);_(* \(#,##0.00\);_(* "-"??_);_(@_)</c:formatCode>
                <c:ptCount val="20"/>
                <c:pt idx="0">
                  <c:v>113.967611359686</c:v>
                </c:pt>
                <c:pt idx="1">
                  <c:v>139.11527031679282</c:v>
                </c:pt>
                <c:pt idx="2">
                  <c:v>61.6517475245304</c:v>
                </c:pt>
                <c:pt idx="3">
                  <c:v>146.26855862629657</c:v>
                </c:pt>
                <c:pt idx="4">
                  <c:v>92.551412453041763</c:v>
                </c:pt>
                <c:pt idx="5">
                  <c:v>102.68192952621249</c:v>
                </c:pt>
                <c:pt idx="6">
                  <c:v>71.810052066162029</c:v>
                </c:pt>
                <c:pt idx="7">
                  <c:v>62.274980745724683</c:v>
                </c:pt>
                <c:pt idx="8">
                  <c:v>58.984150552284817</c:v>
                </c:pt>
                <c:pt idx="9">
                  <c:v>61.373872839921482</c:v>
                </c:pt>
                <c:pt idx="10">
                  <c:v>72.965216826464797</c:v>
                </c:pt>
                <c:pt idx="11">
                  <c:v>33.63404003924866</c:v>
                </c:pt>
                <c:pt idx="12">
                  <c:v>13.571487810484989</c:v>
                </c:pt>
                <c:pt idx="13">
                  <c:v>42.09730900476589</c:v>
                </c:pt>
                <c:pt idx="14">
                  <c:v>68.177832974488354</c:v>
                </c:pt>
                <c:pt idx="15">
                  <c:v>100.06593785253713</c:v>
                </c:pt>
                <c:pt idx="16">
                  <c:v>139.32566114942529</c:v>
                </c:pt>
                <c:pt idx="17">
                  <c:v>110.95465585085503</c:v>
                </c:pt>
                <c:pt idx="18">
                  <c:v>87.28370236052703</c:v>
                </c:pt>
                <c:pt idx="19">
                  <c:v>177.09677006447995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7-4DA1-AEB3-324EFED6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'Dic 25'!$I$3:$I$22</c:f>
              <c:numCache>
                <c:formatCode>_(* #,##0.00_);_(* \(#,##0.00\);_(* "-"??_);_(@_)</c:formatCode>
                <c:ptCount val="20"/>
                <c:pt idx="0">
                  <c:v>66.951794335237949</c:v>
                </c:pt>
                <c:pt idx="1">
                  <c:v>221.22439353346851</c:v>
                </c:pt>
                <c:pt idx="2">
                  <c:v>47.319386676957613</c:v>
                </c:pt>
                <c:pt idx="3">
                  <c:v>56.009527484256473</c:v>
                </c:pt>
                <c:pt idx="4">
                  <c:v>72.434718996559496</c:v>
                </c:pt>
                <c:pt idx="5">
                  <c:v>71.192708822382002</c:v>
                </c:pt>
                <c:pt idx="6">
                  <c:v>80.606045427303201</c:v>
                </c:pt>
                <c:pt idx="7">
                  <c:v>46.317131631339691</c:v>
                </c:pt>
                <c:pt idx="8">
                  <c:v>114.76918604107152</c:v>
                </c:pt>
                <c:pt idx="9">
                  <c:v>102.86789867585173</c:v>
                </c:pt>
                <c:pt idx="10">
                  <c:v>76.824989137560323</c:v>
                </c:pt>
                <c:pt idx="11">
                  <c:v>121.24650492412377</c:v>
                </c:pt>
                <c:pt idx="12">
                  <c:v>19.055794390532398</c:v>
                </c:pt>
                <c:pt idx="13">
                  <c:v>32.15978781049369</c:v>
                </c:pt>
                <c:pt idx="14">
                  <c:v>12.161851841458578</c:v>
                </c:pt>
                <c:pt idx="15">
                  <c:v>54.303728700734219</c:v>
                </c:pt>
                <c:pt idx="16">
                  <c:v>100.74940663825149</c:v>
                </c:pt>
                <c:pt idx="17">
                  <c:v>137.95075568442235</c:v>
                </c:pt>
                <c:pt idx="18">
                  <c:v>102.75391672948734</c:v>
                </c:pt>
                <c:pt idx="19">
                  <c:v>23.984530967806378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8-431A-8584-A0BAA81E1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'Dic 25'!$I$23:$I$42</c:f>
              <c:numCache>
                <c:formatCode>_(* #,##0.00_);_(* \(#,##0.00\);_(* "-"??_);_(@_)</c:formatCode>
                <c:ptCount val="20"/>
                <c:pt idx="0">
                  <c:v>46.3014099835653</c:v>
                </c:pt>
                <c:pt idx="1">
                  <c:v>84.799794971124044</c:v>
                </c:pt>
                <c:pt idx="2">
                  <c:v>86.745348883205878</c:v>
                </c:pt>
                <c:pt idx="3">
                  <c:v>58.591808131201454</c:v>
                </c:pt>
                <c:pt idx="4">
                  <c:v>123.14096348093881</c:v>
                </c:pt>
                <c:pt idx="5">
                  <c:v>50.196448219672568</c:v>
                </c:pt>
                <c:pt idx="6">
                  <c:v>52.766937630786749</c:v>
                </c:pt>
                <c:pt idx="7">
                  <c:v>65.890583110466054</c:v>
                </c:pt>
                <c:pt idx="8">
                  <c:v>170.29411556830402</c:v>
                </c:pt>
                <c:pt idx="9">
                  <c:v>62.986008684145887</c:v>
                </c:pt>
                <c:pt idx="10">
                  <c:v>65.010170835099714</c:v>
                </c:pt>
                <c:pt idx="11">
                  <c:v>96.807203458821022</c:v>
                </c:pt>
                <c:pt idx="12">
                  <c:v>56.24928261281606</c:v>
                </c:pt>
                <c:pt idx="13">
                  <c:v>104.4439938652352</c:v>
                </c:pt>
                <c:pt idx="14">
                  <c:v>10.691877774552303</c:v>
                </c:pt>
                <c:pt idx="15">
                  <c:v>105.27331078533473</c:v>
                </c:pt>
                <c:pt idx="16">
                  <c:v>173.60745283675854</c:v>
                </c:pt>
                <c:pt idx="17">
                  <c:v>101.61802767778701</c:v>
                </c:pt>
                <c:pt idx="18">
                  <c:v>83.207978133966179</c:v>
                </c:pt>
                <c:pt idx="19">
                  <c:v>35.909400804687778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5-48BF-AE08-4F53A4F2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'Dic 25'!$I$43:$I$62</c:f>
              <c:numCache>
                <c:formatCode>_(* #,##0.00_);_(* \(#,##0.00\);_(* "-"??_);_(@_)</c:formatCode>
                <c:ptCount val="20"/>
                <c:pt idx="0">
                  <c:v>37.654503707646029</c:v>
                </c:pt>
                <c:pt idx="1">
                  <c:v>94.307461462691634</c:v>
                </c:pt>
                <c:pt idx="2">
                  <c:v>117.55977852102728</c:v>
                </c:pt>
                <c:pt idx="3">
                  <c:v>83.349472963935767</c:v>
                </c:pt>
                <c:pt idx="4">
                  <c:v>154.70217138804415</c:v>
                </c:pt>
                <c:pt idx="5">
                  <c:v>128.38413301370076</c:v>
                </c:pt>
                <c:pt idx="6">
                  <c:v>60.71816099268888</c:v>
                </c:pt>
                <c:pt idx="7">
                  <c:v>57.90005562912792</c:v>
                </c:pt>
                <c:pt idx="8">
                  <c:v>45.440649767916966</c:v>
                </c:pt>
                <c:pt idx="9">
                  <c:v>75.594770199213627</c:v>
                </c:pt>
                <c:pt idx="10">
                  <c:v>43.255340727275552</c:v>
                </c:pt>
                <c:pt idx="11">
                  <c:v>52.342453140877986</c:v>
                </c:pt>
                <c:pt idx="12">
                  <c:v>43.994258172672296</c:v>
                </c:pt>
                <c:pt idx="13">
                  <c:v>34.262558200319511</c:v>
                </c:pt>
                <c:pt idx="14">
                  <c:v>84.819447030842042</c:v>
                </c:pt>
                <c:pt idx="15">
                  <c:v>58.002246339661511</c:v>
                </c:pt>
                <c:pt idx="16">
                  <c:v>143.10352574248151</c:v>
                </c:pt>
                <c:pt idx="17">
                  <c:v>70.088263066230496</c:v>
                </c:pt>
                <c:pt idx="18">
                  <c:v>144.56956939744418</c:v>
                </c:pt>
                <c:pt idx="19">
                  <c:v>75.508301136454435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C-4916-9555-F4D1708F3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'Dic 25'!$I$63:$I$82</c:f>
              <c:numCache>
                <c:formatCode>_(* #,##0.00_);_(* \(#,##0.00\);_(* "-"??_);_(@_)</c:formatCode>
                <c:ptCount val="20"/>
                <c:pt idx="0">
                  <c:v>79.501599671151695</c:v>
                </c:pt>
                <c:pt idx="1">
                  <c:v>70.50881714419566</c:v>
                </c:pt>
                <c:pt idx="2">
                  <c:v>75.303919715387252</c:v>
                </c:pt>
                <c:pt idx="3">
                  <c:v>110.85449574524625</c:v>
                </c:pt>
                <c:pt idx="4">
                  <c:v>56.410429502503639</c:v>
                </c:pt>
                <c:pt idx="5">
                  <c:v>153.51911739302062</c:v>
                </c:pt>
                <c:pt idx="6">
                  <c:v>19.547095883482356</c:v>
                </c:pt>
                <c:pt idx="7">
                  <c:v>61.602503679998804</c:v>
                </c:pt>
                <c:pt idx="8">
                  <c:v>62.376794832887938</c:v>
                </c:pt>
                <c:pt idx="9">
                  <c:v>88.643737851964516</c:v>
                </c:pt>
                <c:pt idx="10">
                  <c:v>32.867261960341636</c:v>
                </c:pt>
                <c:pt idx="11">
                  <c:v>45.684335308420152</c:v>
                </c:pt>
                <c:pt idx="12">
                  <c:v>87.287745731422632</c:v>
                </c:pt>
                <c:pt idx="13">
                  <c:v>106.7354240283538</c:v>
                </c:pt>
                <c:pt idx="14">
                  <c:v>97.023376115719003</c:v>
                </c:pt>
                <c:pt idx="15">
                  <c:v>65.073057426197309</c:v>
                </c:pt>
                <c:pt idx="16">
                  <c:v>178.33573840490894</c:v>
                </c:pt>
                <c:pt idx="17">
                  <c:v>101.00881382652906</c:v>
                </c:pt>
                <c:pt idx="18">
                  <c:v>70.732850624980841</c:v>
                </c:pt>
                <c:pt idx="19">
                  <c:v>102.31764100374778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A-46BA-8956-23784AD28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'Dic 25'!$I$83:$I$102</c:f>
              <c:numCache>
                <c:formatCode>_(* #,##0.00_);_(* \(#,##0.00\);_(* "-"??_);_(@_)</c:formatCode>
                <c:ptCount val="20"/>
                <c:pt idx="0">
                  <c:v>125.5463755904218</c:v>
                </c:pt>
                <c:pt idx="1">
                  <c:v>88.022732764875769</c:v>
                </c:pt>
                <c:pt idx="2">
                  <c:v>28.618486649310388</c:v>
                </c:pt>
                <c:pt idx="3">
                  <c:v>80.130465582127641</c:v>
                </c:pt>
                <c:pt idx="4">
                  <c:v>149.90313840490896</c:v>
                </c:pt>
                <c:pt idx="5">
                  <c:v>10.691877774552303</c:v>
                </c:pt>
                <c:pt idx="6">
                  <c:v>129.40604011903667</c:v>
                </c:pt>
                <c:pt idx="7">
                  <c:v>11.399351924400243</c:v>
                </c:pt>
                <c:pt idx="8">
                  <c:v>137.45159336758519</c:v>
                </c:pt>
                <c:pt idx="9">
                  <c:v>140.01029154286857</c:v>
                </c:pt>
                <c:pt idx="10">
                  <c:v>144.14115449559185</c:v>
                </c:pt>
                <c:pt idx="11">
                  <c:v>59.570480705157777</c:v>
                </c:pt>
                <c:pt idx="12">
                  <c:v>96.182267959788675</c:v>
                </c:pt>
                <c:pt idx="13">
                  <c:v>120.68838642813262</c:v>
                </c:pt>
                <c:pt idx="14">
                  <c:v>56.477246505544841</c:v>
                </c:pt>
                <c:pt idx="15">
                  <c:v>65.3481862622493</c:v>
                </c:pt>
                <c:pt idx="16">
                  <c:v>98.984651675575265</c:v>
                </c:pt>
                <c:pt idx="17">
                  <c:v>42.123382087518848</c:v>
                </c:pt>
                <c:pt idx="18">
                  <c:v>103.35133934491446</c:v>
                </c:pt>
                <c:pt idx="19">
                  <c:v>95.600566992135924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9-4853-AFC6-4DEC31E1B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'Dic 25'!$I$103:$I$122</c:f>
              <c:numCache>
                <c:formatCode>_(* #,##0.00_);_(* \(#,##0.00\);_(* "-"??_);_(@_)</c:formatCode>
                <c:ptCount val="20"/>
                <c:pt idx="0">
                  <c:v>144.86435029321416</c:v>
                </c:pt>
                <c:pt idx="1">
                  <c:v>128.05397841043839</c:v>
                </c:pt>
                <c:pt idx="2">
                  <c:v>99.082911974165228</c:v>
                </c:pt>
                <c:pt idx="3">
                  <c:v>76.447669590974755</c:v>
                </c:pt>
                <c:pt idx="4">
                  <c:v>18.552701661751641</c:v>
                </c:pt>
                <c:pt idx="5">
                  <c:v>87.924472466285778</c:v>
                </c:pt>
                <c:pt idx="6">
                  <c:v>35.822931741928585</c:v>
                </c:pt>
                <c:pt idx="7">
                  <c:v>87.704369397444196</c:v>
                </c:pt>
                <c:pt idx="8">
                  <c:v>56.107787782846465</c:v>
                </c:pt>
                <c:pt idx="9">
                  <c:v>50.636654357355731</c:v>
                </c:pt>
                <c:pt idx="10">
                  <c:v>148.19733962138667</c:v>
                </c:pt>
                <c:pt idx="11">
                  <c:v>54.162233870764631</c:v>
                </c:pt>
                <c:pt idx="12">
                  <c:v>69.710943519644928</c:v>
                </c:pt>
                <c:pt idx="13">
                  <c:v>27.828473848646858</c:v>
                </c:pt>
                <c:pt idx="14">
                  <c:v>31.68027755337453</c:v>
                </c:pt>
                <c:pt idx="15">
                  <c:v>88.883492980524096</c:v>
                </c:pt>
                <c:pt idx="16">
                  <c:v>107.39573323487852</c:v>
                </c:pt>
                <c:pt idx="17">
                  <c:v>161.62755723266676</c:v>
                </c:pt>
                <c:pt idx="18">
                  <c:v>62.989939096089493</c:v>
                </c:pt>
                <c:pt idx="19">
                  <c:v>133.04953199075356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9-4287-B87B-21AF3E837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'Dic 25'!$I$123:$I$142</c:f>
              <c:numCache>
                <c:formatCode>_(* #,##0.00_);_(* \(#,##0.00\);_(* "-"??_);_(@_)</c:formatCode>
                <c:ptCount val="20"/>
                <c:pt idx="0">
                  <c:v>101.21319524759625</c:v>
                </c:pt>
                <c:pt idx="1">
                  <c:v>18.081052228519681</c:v>
                </c:pt>
                <c:pt idx="2">
                  <c:v>27.722352726169664</c:v>
                </c:pt>
                <c:pt idx="3">
                  <c:v>83.168674014530183</c:v>
                </c:pt>
                <c:pt idx="4">
                  <c:v>61.370609375326424</c:v>
                </c:pt>
                <c:pt idx="5">
                  <c:v>75.362875894541247</c:v>
                </c:pt>
                <c:pt idx="6">
                  <c:v>74.777244514944897</c:v>
                </c:pt>
                <c:pt idx="7">
                  <c:v>180.52890826943755</c:v>
                </c:pt>
                <c:pt idx="8">
                  <c:v>102.08181628713177</c:v>
                </c:pt>
                <c:pt idx="9">
                  <c:v>30.902055988541797</c:v>
                </c:pt>
                <c:pt idx="10">
                  <c:v>54.72821319064299</c:v>
                </c:pt>
                <c:pt idx="11">
                  <c:v>78.247798261143402</c:v>
                </c:pt>
                <c:pt idx="12">
                  <c:v>44.878600859982214</c:v>
                </c:pt>
                <c:pt idx="13">
                  <c:v>11.234274622769057</c:v>
                </c:pt>
                <c:pt idx="14">
                  <c:v>95.211456209719557</c:v>
                </c:pt>
                <c:pt idx="15">
                  <c:v>71.243804177648798</c:v>
                </c:pt>
                <c:pt idx="16">
                  <c:v>71.251665001535983</c:v>
                </c:pt>
                <c:pt idx="17">
                  <c:v>37.312557868552858</c:v>
                </c:pt>
                <c:pt idx="18">
                  <c:v>59.322864752710998</c:v>
                </c:pt>
                <c:pt idx="19">
                  <c:v>39.890908103554239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5-4FD6-BFF7-3E64F4207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'Dic 25'!$I$143:$I$162</c:f>
              <c:numCache>
                <c:formatCode>_(* #,##0.00_);_(* \(#,##0.00\);_(* "-"??_);_(@_)</c:formatCode>
                <c:ptCount val="20"/>
                <c:pt idx="0">
                  <c:v>101.12672618483705</c:v>
                </c:pt>
                <c:pt idx="1">
                  <c:v>29.895870530980282</c:v>
                </c:pt>
                <c:pt idx="2">
                  <c:v>10.758694777593497</c:v>
                </c:pt>
                <c:pt idx="3">
                  <c:v>81.973828783675884</c:v>
                </c:pt>
                <c:pt idx="4">
                  <c:v>204.43367371041074</c:v>
                </c:pt>
                <c:pt idx="5">
                  <c:v>117.63052593601208</c:v>
                </c:pt>
                <c:pt idx="6">
                  <c:v>99.122216093601224</c:v>
                </c:pt>
                <c:pt idx="7">
                  <c:v>11.611594169354625</c:v>
                </c:pt>
                <c:pt idx="8">
                  <c:v>66.802438681381162</c:v>
                </c:pt>
                <c:pt idx="9">
                  <c:v>70.206175424538472</c:v>
                </c:pt>
                <c:pt idx="10">
                  <c:v>52.503600030565572</c:v>
                </c:pt>
                <c:pt idx="11">
                  <c:v>64.624990464626947</c:v>
                </c:pt>
                <c:pt idx="12">
                  <c:v>18.360111476515257</c:v>
                </c:pt>
                <c:pt idx="13">
                  <c:v>67.671059720916688</c:v>
                </c:pt>
                <c:pt idx="14">
                  <c:v>100.67865922326669</c:v>
                </c:pt>
                <c:pt idx="15">
                  <c:v>76.219705698245974</c:v>
                </c:pt>
                <c:pt idx="16">
                  <c:v>73.696381230454989</c:v>
                </c:pt>
                <c:pt idx="17">
                  <c:v>70.964744929653222</c:v>
                </c:pt>
                <c:pt idx="18">
                  <c:v>80.830078908088382</c:v>
                </c:pt>
                <c:pt idx="19">
                  <c:v>22.365201247043316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3B4-89E4-31C0B2B96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'Dic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'Dic 25'!$I$163:$I$182</c:f>
              <c:numCache>
                <c:formatCode>_(* #,##0.00_);_(* \(#,##0.00\);_(* "-"??_);_(@_)</c:formatCode>
                <c:ptCount val="20"/>
                <c:pt idx="0">
                  <c:v>105.27331078533473</c:v>
                </c:pt>
                <c:pt idx="1">
                  <c:v>126.28922344776214</c:v>
                </c:pt>
                <c:pt idx="2">
                  <c:v>40.570869369796981</c:v>
                </c:pt>
                <c:pt idx="3">
                  <c:v>146.07098675989928</c:v>
                </c:pt>
                <c:pt idx="4">
                  <c:v>79.623442441403284</c:v>
                </c:pt>
                <c:pt idx="5">
                  <c:v>102.33729306346575</c:v>
                </c:pt>
                <c:pt idx="6">
                  <c:v>61.932658283261176</c:v>
                </c:pt>
                <c:pt idx="7">
                  <c:v>75.421832073695242</c:v>
                </c:pt>
                <c:pt idx="8">
                  <c:v>56.984269646269198</c:v>
                </c:pt>
                <c:pt idx="9">
                  <c:v>58.745094197001848</c:v>
                </c:pt>
                <c:pt idx="10">
                  <c:v>74.710427511903703</c:v>
                </c:pt>
                <c:pt idx="11">
                  <c:v>32.092970807452495</c:v>
                </c:pt>
                <c:pt idx="12">
                  <c:v>10.691877774552303</c:v>
                </c:pt>
                <c:pt idx="13">
                  <c:v>46.093098150554511</c:v>
                </c:pt>
                <c:pt idx="14">
                  <c:v>64.326279156913387</c:v>
                </c:pt>
                <c:pt idx="15">
                  <c:v>77.218030331920289</c:v>
                </c:pt>
                <c:pt idx="16">
                  <c:v>134.52343646960344</c:v>
                </c:pt>
                <c:pt idx="17">
                  <c:v>86.709975175713481</c:v>
                </c:pt>
                <c:pt idx="18">
                  <c:v>73.598120931864983</c:v>
                </c:pt>
                <c:pt idx="19">
                  <c:v>102.40017965456337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8-40FF-9C77-118508664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'Feb 25'!$I$3:$I$22</c:f>
              <c:numCache>
                <c:formatCode>_(* #,##0.00_);_(* \(#,##0.00\);_(* "-"??_);_(@_)</c:formatCode>
                <c:ptCount val="20"/>
                <c:pt idx="0">
                  <c:v>61.586294624038764</c:v>
                </c:pt>
                <c:pt idx="1">
                  <c:v>55.806687389632607</c:v>
                </c:pt>
                <c:pt idx="2">
                  <c:v>50.132661613500453</c:v>
                </c:pt>
                <c:pt idx="3">
                  <c:v>39.253860986898346</c:v>
                </c:pt>
                <c:pt idx="4">
                  <c:v>50.347734954428965</c:v>
                </c:pt>
                <c:pt idx="5">
                  <c:v>85.389047828254093</c:v>
                </c:pt>
                <c:pt idx="6">
                  <c:v>102.37202091284536</c:v>
                </c:pt>
                <c:pt idx="7">
                  <c:v>71.327161755910026</c:v>
                </c:pt>
                <c:pt idx="8">
                  <c:v>10.887642530618075</c:v>
                </c:pt>
                <c:pt idx="9">
                  <c:v>106.36065378097413</c:v>
                </c:pt>
                <c:pt idx="10">
                  <c:v>61.910859847621786</c:v>
                </c:pt>
                <c:pt idx="11">
                  <c:v>52.596228973227021</c:v>
                </c:pt>
                <c:pt idx="12">
                  <c:v>29.692873376530926</c:v>
                </c:pt>
                <c:pt idx="13">
                  <c:v>61.461161043862177</c:v>
                </c:pt>
                <c:pt idx="14">
                  <c:v>51.669458395044167</c:v>
                </c:pt>
                <c:pt idx="15">
                  <c:v>73.211986307319876</c:v>
                </c:pt>
                <c:pt idx="16">
                  <c:v>76.539757455141029</c:v>
                </c:pt>
                <c:pt idx="17">
                  <c:v>133.2018067288522</c:v>
                </c:pt>
                <c:pt idx="18">
                  <c:v>62.020351730276296</c:v>
                </c:pt>
                <c:pt idx="19">
                  <c:v>16.632055945599564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F-459C-A514-9AA4E58F6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0040737398158721"/>
          <c:y val="0.17851919400943478"/>
          <c:w val="0.88833136276004876"/>
          <c:h val="0.70098346281325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'M3 Dpto'!$B$95:$C$95</c:f>
              <c:strCache>
                <c:ptCount val="2"/>
                <c:pt idx="0">
                  <c:v>E</c:v>
                </c:pt>
                <c:pt idx="1">
                  <c:v>402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 cap="flat">
              <a:solidFill>
                <a:schemeClr val="tx1"/>
              </a:solidFill>
              <a:bevel/>
            </a:ln>
            <a:effectLst>
              <a:outerShdw blurRad="40000" dist="63500" dir="66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 Dpto'!$D$1:$O$1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'M3 Dpto'!$D$95:$O$95</c:f>
              <c:numCache>
                <c:formatCode>0.00</c:formatCode>
                <c:ptCount val="12"/>
                <c:pt idx="0">
                  <c:v>15.894</c:v>
                </c:pt>
                <c:pt idx="1">
                  <c:v>15.647</c:v>
                </c:pt>
                <c:pt idx="2">
                  <c:v>15.911</c:v>
                </c:pt>
                <c:pt idx="3">
                  <c:v>15.539</c:v>
                </c:pt>
                <c:pt idx="4">
                  <c:v>14.623000000000001</c:v>
                </c:pt>
                <c:pt idx="5">
                  <c:v>13.712</c:v>
                </c:pt>
                <c:pt idx="6">
                  <c:v>14.056000000000001</c:v>
                </c:pt>
                <c:pt idx="7">
                  <c:v>13.367000000000001</c:v>
                </c:pt>
                <c:pt idx="8">
                  <c:v>15.886000000000001</c:v>
                </c:pt>
                <c:pt idx="9">
                  <c:v>15.886000000000001</c:v>
                </c:pt>
                <c:pt idx="10">
                  <c:v>23.227</c:v>
                </c:pt>
                <c:pt idx="11">
                  <c:v>27.986000000000001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E-454A-B145-FF1F1DD41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30"/>
        <c:axId val="142280192"/>
        <c:axId val="134173760"/>
      </c:barChart>
      <c:catAx>
        <c:axId val="14228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34173760"/>
        <c:crosses val="autoZero"/>
        <c:auto val="1"/>
        <c:lblAlgn val="ctr"/>
        <c:lblOffset val="100"/>
        <c:noMultiLvlLbl val="0"/>
      </c:catAx>
      <c:valAx>
        <c:axId val="134173760"/>
        <c:scaling>
          <c:orientation val="minMax"/>
          <c:max val="70"/>
        </c:scaling>
        <c:delete val="0"/>
        <c:axPos val="l"/>
        <c:majorGridlines>
          <c:spPr>
            <a:ln>
              <a:solidFill>
                <a:schemeClr val="accent1"/>
              </a:solidFill>
            </a:ln>
          </c:spPr>
        </c:majorGridlines>
        <c:numFmt formatCode="#,##0.00" sourceLinked="0"/>
        <c:majorTickMark val="none"/>
        <c:minorTickMark val="none"/>
        <c:tickLblPos val="nextTo"/>
        <c:crossAx val="142280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'Feb 25'!$I$23:$I$42</c:f>
              <c:numCache>
                <c:formatCode>_(* #,##0.00_);_(* \(#,##0.00\);_(* "-"??_);_(@_)</c:formatCode>
                <c:ptCount val="20"/>
                <c:pt idx="0">
                  <c:v>49.702514931643428</c:v>
                </c:pt>
                <c:pt idx="1">
                  <c:v>119.37845654371978</c:v>
                </c:pt>
                <c:pt idx="2">
                  <c:v>79.988751758758212</c:v>
                </c:pt>
                <c:pt idx="3">
                  <c:v>73.047748483338111</c:v>
                </c:pt>
                <c:pt idx="4">
                  <c:v>103.43956676872691</c:v>
                </c:pt>
                <c:pt idx="5">
                  <c:v>43.551417381088037</c:v>
                </c:pt>
                <c:pt idx="6">
                  <c:v>72.637153923383678</c:v>
                </c:pt>
                <c:pt idx="7">
                  <c:v>74.021444154087177</c:v>
                </c:pt>
                <c:pt idx="8">
                  <c:v>81.658502969239578</c:v>
                </c:pt>
                <c:pt idx="9">
                  <c:v>68.761923362289963</c:v>
                </c:pt>
                <c:pt idx="10">
                  <c:v>64.718544552833976</c:v>
                </c:pt>
                <c:pt idx="11">
                  <c:v>139.53278380091146</c:v>
                </c:pt>
                <c:pt idx="12">
                  <c:v>57.906585281970976</c:v>
                </c:pt>
                <c:pt idx="13">
                  <c:v>55.032423362289975</c:v>
                </c:pt>
                <c:pt idx="14">
                  <c:v>63.650998696952456</c:v>
                </c:pt>
                <c:pt idx="15">
                  <c:v>76.164356714611245</c:v>
                </c:pt>
                <c:pt idx="16">
                  <c:v>298.2921032255768</c:v>
                </c:pt>
                <c:pt idx="17">
                  <c:v>81.971336919681022</c:v>
                </c:pt>
                <c:pt idx="18">
                  <c:v>119.79687195243525</c:v>
                </c:pt>
                <c:pt idx="19">
                  <c:v>36.778562354030214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1-4003-9656-C59D51678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'Feb 25'!$I$43:$I$62</c:f>
              <c:numCache>
                <c:formatCode>_(* #,##0.00_);_(* \(#,##0.00\);_(* "-"??_);_(@_)</c:formatCode>
                <c:ptCount val="20"/>
                <c:pt idx="0">
                  <c:v>39.613620029906031</c:v>
                </c:pt>
                <c:pt idx="1">
                  <c:v>102.42676685417263</c:v>
                </c:pt>
                <c:pt idx="2">
                  <c:v>24.722723988892074</c:v>
                </c:pt>
                <c:pt idx="3">
                  <c:v>62.923659762176044</c:v>
                </c:pt>
                <c:pt idx="4">
                  <c:v>96.842680838792404</c:v>
                </c:pt>
                <c:pt idx="5">
                  <c:v>130.23379462403878</c:v>
                </c:pt>
                <c:pt idx="6">
                  <c:v>55.427376224722323</c:v>
                </c:pt>
                <c:pt idx="7">
                  <c:v>62.7867949088579</c:v>
                </c:pt>
                <c:pt idx="8">
                  <c:v>69.974154920250669</c:v>
                </c:pt>
                <c:pt idx="9">
                  <c:v>76.000118890629466</c:v>
                </c:pt>
                <c:pt idx="10">
                  <c:v>40.262750477072082</c:v>
                </c:pt>
                <c:pt idx="11">
                  <c:v>68.914429913130192</c:v>
                </c:pt>
                <c:pt idx="12">
                  <c:v>96.263938030475686</c:v>
                </c:pt>
                <c:pt idx="13">
                  <c:v>32.25029092138994</c:v>
                </c:pt>
                <c:pt idx="14">
                  <c:v>34.569172579037335</c:v>
                </c:pt>
                <c:pt idx="15">
                  <c:v>55.810597814013128</c:v>
                </c:pt>
                <c:pt idx="16">
                  <c:v>229.82839317146116</c:v>
                </c:pt>
                <c:pt idx="17">
                  <c:v>61.903038998860751</c:v>
                </c:pt>
                <c:pt idx="18">
                  <c:v>147.68992905867276</c:v>
                </c:pt>
                <c:pt idx="19">
                  <c:v>90.742418805183746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F-4C12-B611-54108677E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'Feb 25'!$I$63:$I$82</c:f>
              <c:numCache>
                <c:formatCode>_(* #,##0.00_);_(* \(#,##0.00\);_(* "-"??_);_(@_)</c:formatCode>
                <c:ptCount val="20"/>
                <c:pt idx="0">
                  <c:v>79.449113194246678</c:v>
                </c:pt>
                <c:pt idx="1">
                  <c:v>92.631153780974103</c:v>
                </c:pt>
                <c:pt idx="2">
                  <c:v>82.772973917687295</c:v>
                </c:pt>
                <c:pt idx="3">
                  <c:v>85.138780667900903</c:v>
                </c:pt>
                <c:pt idx="4">
                  <c:v>49.17460764027345</c:v>
                </c:pt>
                <c:pt idx="5">
                  <c:v>137.57757161065226</c:v>
                </c:pt>
                <c:pt idx="6">
                  <c:v>16.233192658786692</c:v>
                </c:pt>
                <c:pt idx="7">
                  <c:v>72.304767851039628</c:v>
                </c:pt>
                <c:pt idx="8">
                  <c:v>66.540802314155542</c:v>
                </c:pt>
                <c:pt idx="9">
                  <c:v>86.311907982056425</c:v>
                </c:pt>
                <c:pt idx="10">
                  <c:v>49.862842331244686</c:v>
                </c:pt>
                <c:pt idx="11">
                  <c:v>41.474982035032781</c:v>
                </c:pt>
                <c:pt idx="12">
                  <c:v>102.71222783395049</c:v>
                </c:pt>
                <c:pt idx="13">
                  <c:v>88.372701630589603</c:v>
                </c:pt>
                <c:pt idx="14">
                  <c:v>101.93014295784678</c:v>
                </c:pt>
                <c:pt idx="15">
                  <c:v>40.157169018798086</c:v>
                </c:pt>
                <c:pt idx="16">
                  <c:v>188.98010009256626</c:v>
                </c:pt>
                <c:pt idx="17">
                  <c:v>64.042041135004297</c:v>
                </c:pt>
                <c:pt idx="18">
                  <c:v>22.959122593278288</c:v>
                </c:pt>
                <c:pt idx="19">
                  <c:v>115.22558585160925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8-4993-B4A3-B609FBA3C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'Feb 25'!$I$83:$I$102</c:f>
              <c:numCache>
                <c:formatCode>_(* #,##0.00_);_(* \(#,##0.00\);_(* "-"??_);_(@_)</c:formatCode>
                <c:ptCount val="20"/>
                <c:pt idx="0">
                  <c:v>127.07808214896045</c:v>
                </c:pt>
                <c:pt idx="1">
                  <c:v>92.873600092566249</c:v>
                </c:pt>
                <c:pt idx="2">
                  <c:v>26.091372522073506</c:v>
                </c:pt>
                <c:pt idx="3">
                  <c:v>67.584885623753934</c:v>
                </c:pt>
                <c:pt idx="4">
                  <c:v>110.54871829250928</c:v>
                </c:pt>
                <c:pt idx="5">
                  <c:v>10.832896589290819</c:v>
                </c:pt>
                <c:pt idx="6">
                  <c:v>147.34972213756768</c:v>
                </c:pt>
                <c:pt idx="7">
                  <c:v>10.989313564511553</c:v>
                </c:pt>
                <c:pt idx="8">
                  <c:v>117.37240883651384</c:v>
                </c:pt>
                <c:pt idx="9">
                  <c:v>145.44534546425521</c:v>
                </c:pt>
                <c:pt idx="10">
                  <c:v>205.15752575477077</c:v>
                </c:pt>
                <c:pt idx="11">
                  <c:v>57.797093399316459</c:v>
                </c:pt>
                <c:pt idx="12">
                  <c:v>67.659183686983795</c:v>
                </c:pt>
                <c:pt idx="13">
                  <c:v>72.019306871261776</c:v>
                </c:pt>
                <c:pt idx="14">
                  <c:v>49.542187532042178</c:v>
                </c:pt>
                <c:pt idx="15">
                  <c:v>77.020739653944787</c:v>
                </c:pt>
                <c:pt idx="16">
                  <c:v>69.059115615209379</c:v>
                </c:pt>
                <c:pt idx="17">
                  <c:v>46.875278104528647</c:v>
                </c:pt>
                <c:pt idx="18">
                  <c:v>100.59668824409005</c:v>
                </c:pt>
                <c:pt idx="19">
                  <c:v>109.68060408003421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C-464E-B679-AE8C928CA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'Feb 25'!$I$103:$I$122</c:f>
              <c:numCache>
                <c:formatCode>_(* #,##0.00_);_(* \(#,##0.00\);_(* "-"??_);_(@_)</c:formatCode>
                <c:ptCount val="20"/>
                <c:pt idx="0">
                  <c:v>127.95010678581605</c:v>
                </c:pt>
                <c:pt idx="1">
                  <c:v>124.07878664910285</c:v>
                </c:pt>
                <c:pt idx="2">
                  <c:v>51.274505532611819</c:v>
                </c:pt>
                <c:pt idx="3">
                  <c:v>10.832896589290819</c:v>
                </c:pt>
                <c:pt idx="4">
                  <c:v>49.937140394474532</c:v>
                </c:pt>
                <c:pt idx="5">
                  <c:v>98.000166455425841</c:v>
                </c:pt>
                <c:pt idx="6">
                  <c:v>54.821260445741977</c:v>
                </c:pt>
                <c:pt idx="7">
                  <c:v>104.37415819567079</c:v>
                </c:pt>
                <c:pt idx="8">
                  <c:v>60.808120172315611</c:v>
                </c:pt>
                <c:pt idx="9">
                  <c:v>48.728819260894362</c:v>
                </c:pt>
                <c:pt idx="10">
                  <c:v>116.1093417616064</c:v>
                </c:pt>
                <c:pt idx="11">
                  <c:v>57.112769132725745</c:v>
                </c:pt>
                <c:pt idx="12">
                  <c:v>61.88739730133868</c:v>
                </c:pt>
                <c:pt idx="13">
                  <c:v>12.807660901452596</c:v>
                </c:pt>
                <c:pt idx="14">
                  <c:v>14.496964233836533</c:v>
                </c:pt>
                <c:pt idx="15">
                  <c:v>15.873433615779</c:v>
                </c:pt>
                <c:pt idx="16">
                  <c:v>84.305860274850517</c:v>
                </c:pt>
                <c:pt idx="17">
                  <c:v>160.77029861150675</c:v>
                </c:pt>
                <c:pt idx="18">
                  <c:v>72.308678275420135</c:v>
                </c:pt>
                <c:pt idx="19">
                  <c:v>171.17202746368559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4-49D1-A784-45E346E45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'Feb 25'!$I$123:$I$142</c:f>
              <c:numCache>
                <c:formatCode>_(* #,##0.00_);_(* \(#,##0.00\);_(* "-"??_);_(@_)</c:formatCode>
                <c:ptCount val="20"/>
                <c:pt idx="0">
                  <c:v>57.75016830675024</c:v>
                </c:pt>
                <c:pt idx="1">
                  <c:v>19.083892032184583</c:v>
                </c:pt>
                <c:pt idx="2">
                  <c:v>77.939689383366584</c:v>
                </c:pt>
                <c:pt idx="3">
                  <c:v>11.11835756906866</c:v>
                </c:pt>
                <c:pt idx="4">
                  <c:v>56.236834071489632</c:v>
                </c:pt>
                <c:pt idx="5">
                  <c:v>53.765445863002022</c:v>
                </c:pt>
                <c:pt idx="6">
                  <c:v>19.967647942181735</c:v>
                </c:pt>
                <c:pt idx="7">
                  <c:v>44.978722279977234</c:v>
                </c:pt>
                <c:pt idx="8">
                  <c:v>91.485399437482215</c:v>
                </c:pt>
                <c:pt idx="9">
                  <c:v>41.674413678439215</c:v>
                </c:pt>
                <c:pt idx="10">
                  <c:v>67.518408409285129</c:v>
                </c:pt>
                <c:pt idx="11">
                  <c:v>68.664162752777003</c:v>
                </c:pt>
                <c:pt idx="12">
                  <c:v>18.700670442893781</c:v>
                </c:pt>
                <c:pt idx="13">
                  <c:v>10.872000833096003</c:v>
                </c:pt>
                <c:pt idx="14">
                  <c:v>126.75351692537743</c:v>
                </c:pt>
                <c:pt idx="15">
                  <c:v>79.941826666192014</c:v>
                </c:pt>
                <c:pt idx="16">
                  <c:v>95.12600453574484</c:v>
                </c:pt>
                <c:pt idx="17">
                  <c:v>31.280505675021384</c:v>
                </c:pt>
                <c:pt idx="18">
                  <c:v>26.900830368840808</c:v>
                </c:pt>
                <c:pt idx="19">
                  <c:v>33.615029030190854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5-4385-9E55-BA1419D6C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'Feb 25'!$I$143:$I$162</c:f>
              <c:numCache>
                <c:formatCode>_(* #,##0.00_);_(* \(#,##0.00\);_(* "-"??_);_(@_)</c:formatCode>
                <c:ptCount val="20"/>
                <c:pt idx="0">
                  <c:v>78.10783763172887</c:v>
                </c:pt>
                <c:pt idx="1">
                  <c:v>51.685100092566245</c:v>
                </c:pt>
                <c:pt idx="2">
                  <c:v>60.843313991740267</c:v>
                </c:pt>
                <c:pt idx="3">
                  <c:v>52.103515501281713</c:v>
                </c:pt>
                <c:pt idx="4">
                  <c:v>202.24034916690405</c:v>
                </c:pt>
                <c:pt idx="5">
                  <c:v>86.472235381657669</c:v>
                </c:pt>
                <c:pt idx="6">
                  <c:v>79.144100092566248</c:v>
                </c:pt>
                <c:pt idx="7">
                  <c:v>37.099217153232722</c:v>
                </c:pt>
                <c:pt idx="8">
                  <c:v>70.314361841355776</c:v>
                </c:pt>
                <c:pt idx="9">
                  <c:v>84.071234812019384</c:v>
                </c:pt>
                <c:pt idx="10">
                  <c:v>88.795027463685585</c:v>
                </c:pt>
                <c:pt idx="11">
                  <c:v>104.62442535602395</c:v>
                </c:pt>
                <c:pt idx="12">
                  <c:v>120.60241937482203</c:v>
                </c:pt>
                <c:pt idx="13">
                  <c:v>66.943576025348932</c:v>
                </c:pt>
                <c:pt idx="14">
                  <c:v>12.36578294645402</c:v>
                </c:pt>
                <c:pt idx="15">
                  <c:v>86.886740365992637</c:v>
                </c:pt>
                <c:pt idx="16">
                  <c:v>83.723207042153263</c:v>
                </c:pt>
                <c:pt idx="17">
                  <c:v>100.7609260680718</c:v>
                </c:pt>
                <c:pt idx="18">
                  <c:v>151.9288290871547</c:v>
                </c:pt>
                <c:pt idx="19">
                  <c:v>129.73717072771294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B-431A-B802-03CB57D4B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'Feb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'Feb 25'!$I$163:$I$182</c:f>
              <c:numCache>
                <c:formatCode>_(* #,##0.00_);_(* \(#,##0.00\);_(* "-"??_);_(@_)</c:formatCode>
                <c:ptCount val="20"/>
                <c:pt idx="0">
                  <c:v>79.124547970663656</c:v>
                </c:pt>
                <c:pt idx="1">
                  <c:v>114.35356121475365</c:v>
                </c:pt>
                <c:pt idx="2">
                  <c:v>35.808777107661655</c:v>
                </c:pt>
                <c:pt idx="3">
                  <c:v>147.72121245371693</c:v>
                </c:pt>
                <c:pt idx="4">
                  <c:v>54.359830368840811</c:v>
                </c:pt>
                <c:pt idx="5">
                  <c:v>112.58213897037885</c:v>
                </c:pt>
                <c:pt idx="6">
                  <c:v>66.849725840216493</c:v>
                </c:pt>
                <c:pt idx="7">
                  <c:v>69.78254412560527</c:v>
                </c:pt>
                <c:pt idx="8">
                  <c:v>70.955671439760778</c:v>
                </c:pt>
                <c:pt idx="9">
                  <c:v>68.386522621760207</c:v>
                </c:pt>
                <c:pt idx="10">
                  <c:v>49.510904136998029</c:v>
                </c:pt>
                <c:pt idx="11">
                  <c:v>151.51432410281973</c:v>
                </c:pt>
                <c:pt idx="12">
                  <c:v>44.841857426659097</c:v>
                </c:pt>
                <c:pt idx="13">
                  <c:v>50.390749622614663</c:v>
                </c:pt>
                <c:pt idx="14">
                  <c:v>78.545805162346937</c:v>
                </c:pt>
                <c:pt idx="15">
                  <c:v>18.986131422671622</c:v>
                </c:pt>
                <c:pt idx="16">
                  <c:v>110.58000168755342</c:v>
                </c:pt>
                <c:pt idx="17">
                  <c:v>69.520545692110545</c:v>
                </c:pt>
                <c:pt idx="18">
                  <c:v>74.029265002848234</c:v>
                </c:pt>
                <c:pt idx="19">
                  <c:v>95.13773580888639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B-4B0C-A1A0-474ED397F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'Ene 25'!$I$3:$I$22</c:f>
              <c:numCache>
                <c:formatCode>_(* #,##0.00_);_(* \(#,##0.00\);_(* "-"??_);_(@_)</c:formatCode>
                <c:ptCount val="20"/>
                <c:pt idx="0">
                  <c:v>15.815095911480944</c:v>
                </c:pt>
                <c:pt idx="1">
                  <c:v>13.730502405274462</c:v>
                </c:pt>
                <c:pt idx="2">
                  <c:v>16.634421277952239</c:v>
                </c:pt>
                <c:pt idx="3">
                  <c:v>20.478599150528805</c:v>
                </c:pt>
                <c:pt idx="4">
                  <c:v>22.383303877011887</c:v>
                </c:pt>
                <c:pt idx="5">
                  <c:v>23.080183939637838</c:v>
                </c:pt>
                <c:pt idx="6">
                  <c:v>39.713093547172235</c:v>
                </c:pt>
                <c:pt idx="7">
                  <c:v>22.032596340072146</c:v>
                </c:pt>
                <c:pt idx="8">
                  <c:v>0.70595008513301483</c:v>
                </c:pt>
                <c:pt idx="9">
                  <c:v>38.435732044094294</c:v>
                </c:pt>
                <c:pt idx="10">
                  <c:v>17.704683933785589</c:v>
                </c:pt>
                <c:pt idx="11">
                  <c:v>17.149900890436946</c:v>
                </c:pt>
                <c:pt idx="12">
                  <c:v>10.89763204223534</c:v>
                </c:pt>
                <c:pt idx="13">
                  <c:v>6.3051773128261352</c:v>
                </c:pt>
                <c:pt idx="14">
                  <c:v>16.422787419454117</c:v>
                </c:pt>
                <c:pt idx="15">
                  <c:v>25.63944195704725</c:v>
                </c:pt>
                <c:pt idx="16">
                  <c:v>34.008049390230049</c:v>
                </c:pt>
                <c:pt idx="17">
                  <c:v>38.029092701694331</c:v>
                </c:pt>
                <c:pt idx="18">
                  <c:v>19.557991866061982</c:v>
                </c:pt>
                <c:pt idx="19">
                  <c:v>4.8146702808322317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8-41A9-A4E6-5D7B62B8D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'Mar 25'!$I$3:$I$22</c:f>
              <c:numCache>
                <c:formatCode>_(* #,##0.00_);_(* \(#,##0.00\);_(* "-"??_);_(@_)</c:formatCode>
                <c:ptCount val="20"/>
                <c:pt idx="0">
                  <c:v>63.12233773718642</c:v>
                </c:pt>
                <c:pt idx="1">
                  <c:v>51.200758129770939</c:v>
                </c:pt>
                <c:pt idx="2">
                  <c:v>53.636222742638985</c:v>
                </c:pt>
                <c:pt idx="3">
                  <c:v>46.97902383315153</c:v>
                </c:pt>
                <c:pt idx="4">
                  <c:v>73.418962764449248</c:v>
                </c:pt>
                <c:pt idx="5">
                  <c:v>76.550836483097001</c:v>
                </c:pt>
                <c:pt idx="6">
                  <c:v>94.267956275899607</c:v>
                </c:pt>
                <c:pt idx="7">
                  <c:v>61.591811510359818</c:v>
                </c:pt>
                <c:pt idx="8">
                  <c:v>16.085214236641164</c:v>
                </c:pt>
                <c:pt idx="9">
                  <c:v>109.28993348418751</c:v>
                </c:pt>
                <c:pt idx="10">
                  <c:v>105.50886483642307</c:v>
                </c:pt>
                <c:pt idx="11">
                  <c:v>71.093664563794931</c:v>
                </c:pt>
                <c:pt idx="12">
                  <c:v>58.424527159214776</c:v>
                </c:pt>
                <c:pt idx="13">
                  <c:v>21.52271358233364</c:v>
                </c:pt>
                <c:pt idx="14">
                  <c:v>56.358906930207141</c:v>
                </c:pt>
                <c:pt idx="15">
                  <c:v>75.602618435114451</c:v>
                </c:pt>
                <c:pt idx="16">
                  <c:v>78.746295697927962</c:v>
                </c:pt>
                <c:pt idx="17">
                  <c:v>158.66415872955281</c:v>
                </c:pt>
                <c:pt idx="18">
                  <c:v>73.080594498364178</c:v>
                </c:pt>
                <c:pt idx="19">
                  <c:v>20.417114945474317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7-4D9A-A245-6A354C7F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'Mar 25'!$I$23:$I$42</c:f>
              <c:numCache>
                <c:formatCode>_(* #,##0.00_);_(* \(#,##0.00\);_(* "-"??_);_(@_)</c:formatCode>
                <c:ptCount val="20"/>
                <c:pt idx="0">
                  <c:v>63.732187519083908</c:v>
                </c:pt>
                <c:pt idx="1">
                  <c:v>100.16579384405665</c:v>
                </c:pt>
                <c:pt idx="2">
                  <c:v>96.443742917120986</c:v>
                </c:pt>
                <c:pt idx="3">
                  <c:v>81.173891281352184</c:v>
                </c:pt>
                <c:pt idx="4">
                  <c:v>95.216174323882171</c:v>
                </c:pt>
                <c:pt idx="5">
                  <c:v>52.93981363685927</c:v>
                </c:pt>
                <c:pt idx="6">
                  <c:v>69.185424923664073</c:v>
                </c:pt>
                <c:pt idx="7">
                  <c:v>66.46274073609591</c:v>
                </c:pt>
                <c:pt idx="8">
                  <c:v>60.596379285714235</c:v>
                </c:pt>
                <c:pt idx="9">
                  <c:v>56.93728059432928</c:v>
                </c:pt>
                <c:pt idx="10">
                  <c:v>63.063320016357629</c:v>
                </c:pt>
                <c:pt idx="11">
                  <c:v>135.51347410577966</c:v>
                </c:pt>
                <c:pt idx="12">
                  <c:v>78.034148533260577</c:v>
                </c:pt>
                <c:pt idx="13">
                  <c:v>84.92741832606319</c:v>
                </c:pt>
                <c:pt idx="14">
                  <c:v>68.335569743729508</c:v>
                </c:pt>
                <c:pt idx="15">
                  <c:v>96.856866962922524</c:v>
                </c:pt>
                <c:pt idx="16">
                  <c:v>251.71543190294432</c:v>
                </c:pt>
                <c:pt idx="17">
                  <c:v>84.494621706652069</c:v>
                </c:pt>
                <c:pt idx="18">
                  <c:v>109.84076554525622</c:v>
                </c:pt>
                <c:pt idx="19">
                  <c:v>38.401781739367443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7-4FA2-83F7-67DBCE6E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'Mar 25'!$I$43:$I$62</c:f>
              <c:numCache>
                <c:formatCode>_(* #,##0.00_);_(* \(#,##0.00\);_(* "-"??_);_(@_)</c:formatCode>
                <c:ptCount val="20"/>
                <c:pt idx="0">
                  <c:v>39.889028304252946</c:v>
                </c:pt>
                <c:pt idx="1">
                  <c:v>121.38856625408937</c:v>
                </c:pt>
                <c:pt idx="2">
                  <c:v>27.629080430752396</c:v>
                </c:pt>
                <c:pt idx="3">
                  <c:v>52.062416853871262</c:v>
                </c:pt>
                <c:pt idx="4">
                  <c:v>160.58420191384943</c:v>
                </c:pt>
                <c:pt idx="5">
                  <c:v>114.75103991821152</c:v>
                </c:pt>
                <c:pt idx="6">
                  <c:v>73.155350278080647</c:v>
                </c:pt>
                <c:pt idx="7">
                  <c:v>74.398656930207139</c:v>
                </c:pt>
                <c:pt idx="8">
                  <c:v>51.625685719738222</c:v>
                </c:pt>
                <c:pt idx="9">
                  <c:v>96.494891608505952</c:v>
                </c:pt>
                <c:pt idx="10">
                  <c:v>43.339597715376172</c:v>
                </c:pt>
                <c:pt idx="11">
                  <c:v>53.392282829879981</c:v>
                </c:pt>
                <c:pt idx="12">
                  <c:v>117.64684275354411</c:v>
                </c:pt>
                <c:pt idx="13">
                  <c:v>36.190584465648797</c:v>
                </c:pt>
                <c:pt idx="14">
                  <c:v>111.89064771537618</c:v>
                </c:pt>
                <c:pt idx="15">
                  <c:v>60.608182829879993</c:v>
                </c:pt>
                <c:pt idx="16">
                  <c:v>217.60712377862592</c:v>
                </c:pt>
                <c:pt idx="17">
                  <c:v>57.452702022900702</c:v>
                </c:pt>
                <c:pt idx="18">
                  <c:v>109.73059913304249</c:v>
                </c:pt>
                <c:pt idx="19">
                  <c:v>91.568879176662975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8-4E13-9DC7-EACF180B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'Mar 25'!$I$63:$I$82</c:f>
              <c:numCache>
                <c:formatCode>_(* #,##0.00_);_(* \(#,##0.00\);_(* "-"??_);_(@_)</c:formatCode>
                <c:ptCount val="20"/>
                <c:pt idx="0">
                  <c:v>101.92845643947651</c:v>
                </c:pt>
                <c:pt idx="1">
                  <c:v>48.332496897491765</c:v>
                </c:pt>
                <c:pt idx="2">
                  <c:v>84.817251913849461</c:v>
                </c:pt>
                <c:pt idx="3">
                  <c:v>83.381154040348903</c:v>
                </c:pt>
                <c:pt idx="4">
                  <c:v>52.204059383860354</c:v>
                </c:pt>
                <c:pt idx="5">
                  <c:v>90.722958511450315</c:v>
                </c:pt>
                <c:pt idx="6">
                  <c:v>22.683395425299835</c:v>
                </c:pt>
                <c:pt idx="7">
                  <c:v>67.772934138495032</c:v>
                </c:pt>
                <c:pt idx="8">
                  <c:v>72.73042268811335</c:v>
                </c:pt>
                <c:pt idx="9">
                  <c:v>89.979335229007575</c:v>
                </c:pt>
                <c:pt idx="10">
                  <c:v>57.680903876772028</c:v>
                </c:pt>
                <c:pt idx="11">
                  <c:v>47.761992262813465</c:v>
                </c:pt>
                <c:pt idx="12">
                  <c:v>100.3979302126499</c:v>
                </c:pt>
                <c:pt idx="13">
                  <c:v>166.69450327699013</c:v>
                </c:pt>
                <c:pt idx="14">
                  <c:v>124.186006221374</c:v>
                </c:pt>
                <c:pt idx="15">
                  <c:v>46.742952949836365</c:v>
                </c:pt>
                <c:pt idx="16">
                  <c:v>140.58899809705557</c:v>
                </c:pt>
                <c:pt idx="17">
                  <c:v>82.059157093784023</c:v>
                </c:pt>
                <c:pt idx="18">
                  <c:v>31.842945697927966</c:v>
                </c:pt>
                <c:pt idx="19">
                  <c:v>120.29870567611773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D-4E60-A88E-AD1F46A42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'Mar 25'!$I$83:$I$102</c:f>
              <c:numCache>
                <c:formatCode>_(* #,##0.00_);_(* \(#,##0.00\);_(* "-"??_);_(@_)</c:formatCode>
                <c:ptCount val="20"/>
                <c:pt idx="0">
                  <c:v>128.13232448745907</c:v>
                </c:pt>
                <c:pt idx="1">
                  <c:v>91.970199678298741</c:v>
                </c:pt>
                <c:pt idx="2">
                  <c:v>28.632381684841818</c:v>
                </c:pt>
                <c:pt idx="3">
                  <c:v>73.662902677208237</c:v>
                </c:pt>
                <c:pt idx="4">
                  <c:v>92.650870725190785</c:v>
                </c:pt>
                <c:pt idx="5">
                  <c:v>16.085214236641164</c:v>
                </c:pt>
                <c:pt idx="6">
                  <c:v>148.90262770447106</c:v>
                </c:pt>
                <c:pt idx="7">
                  <c:v>16.793426886586637</c:v>
                </c:pt>
                <c:pt idx="8">
                  <c:v>111.17456603598686</c:v>
                </c:pt>
                <c:pt idx="9">
                  <c:v>130.21368277535436</c:v>
                </c:pt>
                <c:pt idx="10">
                  <c:v>198.9339169083969</c:v>
                </c:pt>
                <c:pt idx="11">
                  <c:v>62.300024160305291</c:v>
                </c:pt>
                <c:pt idx="12">
                  <c:v>49.961385992366353</c:v>
                </c:pt>
                <c:pt idx="13">
                  <c:v>78.687277977099171</c:v>
                </c:pt>
                <c:pt idx="14">
                  <c:v>37.673896515812373</c:v>
                </c:pt>
                <c:pt idx="15">
                  <c:v>77.125275632497221</c:v>
                </c:pt>
                <c:pt idx="16">
                  <c:v>66.065354749182063</c:v>
                </c:pt>
                <c:pt idx="17">
                  <c:v>49.89056472737181</c:v>
                </c:pt>
                <c:pt idx="18">
                  <c:v>88.204869089421976</c:v>
                </c:pt>
                <c:pt idx="19">
                  <c:v>111.81982645038163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7-4F89-8A2D-7C99AC39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'Mar 25'!$I$103:$I$122</c:f>
              <c:numCache>
                <c:formatCode>_(* #,##0.00_);_(* \(#,##0.00\);_(* "-"??_);_(@_)</c:formatCode>
                <c:ptCount val="20"/>
                <c:pt idx="0">
                  <c:v>122.76958092148305</c:v>
                </c:pt>
                <c:pt idx="1">
                  <c:v>105.16262754089416</c:v>
                </c:pt>
                <c:pt idx="2">
                  <c:v>29.073047333696781</c:v>
                </c:pt>
                <c:pt idx="3">
                  <c:v>25.886090408942145</c:v>
                </c:pt>
                <c:pt idx="4">
                  <c:v>47.561332011995582</c:v>
                </c:pt>
                <c:pt idx="5">
                  <c:v>101.49565982006538</c:v>
                </c:pt>
                <c:pt idx="6">
                  <c:v>55.308391499454686</c:v>
                </c:pt>
                <c:pt idx="7">
                  <c:v>97.757870834242041</c:v>
                </c:pt>
                <c:pt idx="8">
                  <c:v>58.105831466739311</c:v>
                </c:pt>
                <c:pt idx="9">
                  <c:v>47.199356657579003</c:v>
                </c:pt>
                <c:pt idx="10">
                  <c:v>122.56498615594323</c:v>
                </c:pt>
                <c:pt idx="11">
                  <c:v>68.209665272628087</c:v>
                </c:pt>
                <c:pt idx="12">
                  <c:v>67.281119798255133</c:v>
                </c:pt>
                <c:pt idx="13">
                  <c:v>20.28727595965098</c:v>
                </c:pt>
                <c:pt idx="14">
                  <c:v>28.628447170119898</c:v>
                </c:pt>
                <c:pt idx="15">
                  <c:v>63.669235283533204</c:v>
                </c:pt>
                <c:pt idx="16">
                  <c:v>75.700981303162436</c:v>
                </c:pt>
                <c:pt idx="17">
                  <c:v>178.76165992911666</c:v>
                </c:pt>
                <c:pt idx="18">
                  <c:v>74.194062164667343</c:v>
                </c:pt>
                <c:pt idx="19">
                  <c:v>143.90579400763355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2-4DA9-A05A-CBCF687FB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'Mar 25'!$I$123:$I$142</c:f>
              <c:numCache>
                <c:formatCode>_(* #,##0.00_);_(* \(#,##0.00\);_(* "-"??_);_(@_)</c:formatCode>
                <c:ptCount val="20"/>
                <c:pt idx="0">
                  <c:v>81.516194062159158</c:v>
                </c:pt>
                <c:pt idx="1">
                  <c:v>24.544420888767661</c:v>
                </c:pt>
                <c:pt idx="2">
                  <c:v>187.51988970010899</c:v>
                </c:pt>
                <c:pt idx="3">
                  <c:v>16.128493898582278</c:v>
                </c:pt>
                <c:pt idx="4">
                  <c:v>61.210163582333635</c:v>
                </c:pt>
                <c:pt idx="5">
                  <c:v>69.976262382769846</c:v>
                </c:pt>
                <c:pt idx="6">
                  <c:v>16.085214236641164</c:v>
                </c:pt>
                <c:pt idx="7">
                  <c:v>43.253038391493945</c:v>
                </c:pt>
                <c:pt idx="8">
                  <c:v>86.312367508178795</c:v>
                </c:pt>
                <c:pt idx="9">
                  <c:v>30.623246134132987</c:v>
                </c:pt>
                <c:pt idx="10">
                  <c:v>85.344476886586648</c:v>
                </c:pt>
                <c:pt idx="11">
                  <c:v>85.733993844056656</c:v>
                </c:pt>
                <c:pt idx="12">
                  <c:v>26.027732938931241</c:v>
                </c:pt>
                <c:pt idx="13">
                  <c:v>16.085214236641164</c:v>
                </c:pt>
                <c:pt idx="14">
                  <c:v>119.80689133587782</c:v>
                </c:pt>
                <c:pt idx="15">
                  <c:v>77.750863473282379</c:v>
                </c:pt>
                <c:pt idx="16">
                  <c:v>98.769041117775302</c:v>
                </c:pt>
                <c:pt idx="17">
                  <c:v>42.887128522355454</c:v>
                </c:pt>
                <c:pt idx="18">
                  <c:v>30.233729176662976</c:v>
                </c:pt>
                <c:pt idx="19">
                  <c:v>38.563096842966139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D-46EA-BC55-4D8898C11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'Mar 25'!$I$143:$I$162</c:f>
              <c:numCache>
                <c:formatCode>_(* #,##0.00_);_(* \(#,##0.00\);_(* "-"??_);_(@_)</c:formatCode>
                <c:ptCount val="20"/>
                <c:pt idx="0">
                  <c:v>78.813182448200592</c:v>
                </c:pt>
                <c:pt idx="1">
                  <c:v>49.815808947655341</c:v>
                </c:pt>
                <c:pt idx="2">
                  <c:v>55.548396897491763</c:v>
                </c:pt>
                <c:pt idx="3">
                  <c:v>72.128441935659708</c:v>
                </c:pt>
                <c:pt idx="4">
                  <c:v>194.31479662486362</c:v>
                </c:pt>
                <c:pt idx="5">
                  <c:v>91.222641881134081</c:v>
                </c:pt>
                <c:pt idx="6">
                  <c:v>77.927916635768753</c:v>
                </c:pt>
                <c:pt idx="7">
                  <c:v>78.939086919302014</c:v>
                </c:pt>
                <c:pt idx="8">
                  <c:v>60.9583546401308</c:v>
                </c:pt>
                <c:pt idx="9">
                  <c:v>92.721691990185334</c:v>
                </c:pt>
                <c:pt idx="10">
                  <c:v>35.655490463467771</c:v>
                </c:pt>
                <c:pt idx="11">
                  <c:v>91.946592589967224</c:v>
                </c:pt>
                <c:pt idx="12">
                  <c:v>120.72756778080692</c:v>
                </c:pt>
                <c:pt idx="13">
                  <c:v>68.666068980370724</c:v>
                </c:pt>
                <c:pt idx="14">
                  <c:v>40.136902731733855</c:v>
                </c:pt>
                <c:pt idx="15">
                  <c:v>76.708217071973763</c:v>
                </c:pt>
                <c:pt idx="16">
                  <c:v>408.27764171755723</c:v>
                </c:pt>
                <c:pt idx="17">
                  <c:v>109.80142039803702</c:v>
                </c:pt>
                <c:pt idx="18">
                  <c:v>66.297491117775309</c:v>
                </c:pt>
                <c:pt idx="19">
                  <c:v>138.06697416030528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F-42DA-9E1B-952952A4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'Mar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'Mar 25'!$I$163:$I$182</c:f>
              <c:numCache>
                <c:formatCode>_(* #,##0.00_);_(* \(#,##0.00\);_(* "-"??_);_(@_)</c:formatCode>
                <c:ptCount val="20"/>
                <c:pt idx="0">
                  <c:v>81.88210393129765</c:v>
                </c:pt>
                <c:pt idx="1">
                  <c:v>118.29210316793888</c:v>
                </c:pt>
                <c:pt idx="2">
                  <c:v>38.614245534351085</c:v>
                </c:pt>
                <c:pt idx="3">
                  <c:v>116.17533424754629</c:v>
                </c:pt>
                <c:pt idx="4">
                  <c:v>59.573405458015216</c:v>
                </c:pt>
                <c:pt idx="5">
                  <c:v>146.3058479880043</c:v>
                </c:pt>
                <c:pt idx="6">
                  <c:v>51.236168762268214</c:v>
                </c:pt>
                <c:pt idx="7">
                  <c:v>65.467308511450327</c:v>
                </c:pt>
                <c:pt idx="8">
                  <c:v>59.821279885496125</c:v>
                </c:pt>
                <c:pt idx="9">
                  <c:v>61.450168980370712</c:v>
                </c:pt>
                <c:pt idx="10">
                  <c:v>42.77696211014171</c:v>
                </c:pt>
                <c:pt idx="11">
                  <c:v>90.541970834242036</c:v>
                </c:pt>
                <c:pt idx="12">
                  <c:v>27.817937137404524</c:v>
                </c:pt>
                <c:pt idx="13">
                  <c:v>49.107596297709868</c:v>
                </c:pt>
                <c:pt idx="14">
                  <c:v>81.846693298800375</c:v>
                </c:pt>
                <c:pt idx="15">
                  <c:v>59.671768326063194</c:v>
                </c:pt>
                <c:pt idx="16">
                  <c:v>107.31480709378403</c:v>
                </c:pt>
                <c:pt idx="17">
                  <c:v>74.536364945474318</c:v>
                </c:pt>
                <c:pt idx="18">
                  <c:v>96.561778358778568</c:v>
                </c:pt>
                <c:pt idx="19">
                  <c:v>99.544140517993398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1-4576-8C33-A4CD8EBD2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'Abr 25'!$I$3:$I$22</c:f>
              <c:numCache>
                <c:formatCode>_(* #,##0.00_);_(* \(#,##0.00\);_(* "-"??_);_(@_)</c:formatCode>
                <c:ptCount val="20"/>
                <c:pt idx="0">
                  <c:v>56.447247432379818</c:v>
                </c:pt>
                <c:pt idx="1">
                  <c:v>45.9601421492508</c:v>
                </c:pt>
                <c:pt idx="2">
                  <c:v>49.152223439385068</c:v>
                </c:pt>
                <c:pt idx="3">
                  <c:v>59.80604889180772</c:v>
                </c:pt>
                <c:pt idx="4">
                  <c:v>84.029269586495403</c:v>
                </c:pt>
                <c:pt idx="5">
                  <c:v>85.403694396769779</c:v>
                </c:pt>
                <c:pt idx="6">
                  <c:v>99.481382838100785</c:v>
                </c:pt>
                <c:pt idx="7">
                  <c:v>58.159178926833988</c:v>
                </c:pt>
                <c:pt idx="8">
                  <c:v>6.7280398725432704</c:v>
                </c:pt>
                <c:pt idx="9">
                  <c:v>138.72568415158591</c:v>
                </c:pt>
                <c:pt idx="10">
                  <c:v>79.564422125899966</c:v>
                </c:pt>
                <c:pt idx="11">
                  <c:v>57.610222271842744</c:v>
                </c:pt>
                <c:pt idx="12">
                  <c:v>29.564636720178999</c:v>
                </c:pt>
                <c:pt idx="13">
                  <c:v>73.086733597003288</c:v>
                </c:pt>
                <c:pt idx="14">
                  <c:v>37.778654817085012</c:v>
                </c:pt>
                <c:pt idx="15">
                  <c:v>79.157787566647187</c:v>
                </c:pt>
                <c:pt idx="16">
                  <c:v>84.021136895310363</c:v>
                </c:pt>
                <c:pt idx="17">
                  <c:v>175.73756173477329</c:v>
                </c:pt>
                <c:pt idx="18">
                  <c:v>71.643180911655946</c:v>
                </c:pt>
                <c:pt idx="19">
                  <c:v>11.965492995718988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1-4FFC-90DF-244E2AE70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'Ene 25'!$I$23:$I$42</c:f>
              <c:numCache>
                <c:formatCode>_(* #,##0.00_);_(* \(#,##0.00\);_(* "-"??_);_(@_)</c:formatCode>
                <c:ptCount val="20"/>
                <c:pt idx="0">
                  <c:v>18.910996927224872</c:v>
                </c:pt>
                <c:pt idx="1">
                  <c:v>55.954480516485106</c:v>
                </c:pt>
                <c:pt idx="2">
                  <c:v>29.932585943723399</c:v>
                </c:pt>
                <c:pt idx="3">
                  <c:v>29.445828069177718</c:v>
                </c:pt>
                <c:pt idx="4">
                  <c:v>41.258020714208506</c:v>
                </c:pt>
                <c:pt idx="5">
                  <c:v>18.347143861369169</c:v>
                </c:pt>
                <c:pt idx="6">
                  <c:v>21.184549235661819</c:v>
                </c:pt>
                <c:pt idx="7">
                  <c:v>23.817879103545572</c:v>
                </c:pt>
                <c:pt idx="8">
                  <c:v>20.938146957553297</c:v>
                </c:pt>
                <c:pt idx="9">
                  <c:v>24.31824201185184</c:v>
                </c:pt>
                <c:pt idx="10">
                  <c:v>10.218892024623512</c:v>
                </c:pt>
                <c:pt idx="11">
                  <c:v>43.371335958354017</c:v>
                </c:pt>
                <c:pt idx="12">
                  <c:v>28.316610267048464</c:v>
                </c:pt>
                <c:pt idx="13">
                  <c:v>15.245196163953866</c:v>
                </c:pt>
                <c:pt idx="14">
                  <c:v>23.140650756351587</c:v>
                </c:pt>
                <c:pt idx="15">
                  <c:v>35.368552766289397</c:v>
                </c:pt>
                <c:pt idx="16">
                  <c:v>51.863900365800006</c:v>
                </c:pt>
                <c:pt idx="17">
                  <c:v>25.569905117826433</c:v>
                </c:pt>
                <c:pt idx="18">
                  <c:v>40.255783227178121</c:v>
                </c:pt>
                <c:pt idx="19">
                  <c:v>10.906702064742403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4-44B7-B8AE-C3C5EC6CE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'Abr 25'!$I$23:$I$42</c:f>
              <c:numCache>
                <c:formatCode>_(* #,##0.00_);_(* \(#,##0.00\);_(* "-"??_);_(@_)</c:formatCode>
                <c:ptCount val="20"/>
                <c:pt idx="0">
                  <c:v>53.820388179606901</c:v>
                </c:pt>
                <c:pt idx="1">
                  <c:v>97.322153328468559</c:v>
                </c:pt>
                <c:pt idx="2">
                  <c:v>74.888124694493072</c:v>
                </c:pt>
                <c:pt idx="3">
                  <c:v>82.122153503599918</c:v>
                </c:pt>
                <c:pt idx="4">
                  <c:v>120.19534728643704</c:v>
                </c:pt>
                <c:pt idx="5">
                  <c:v>41.194385114808306</c:v>
                </c:pt>
                <c:pt idx="6">
                  <c:v>56.365920520529265</c:v>
                </c:pt>
                <c:pt idx="7">
                  <c:v>71.944090485503011</c:v>
                </c:pt>
                <c:pt idx="8">
                  <c:v>61.001554496010868</c:v>
                </c:pt>
                <c:pt idx="9">
                  <c:v>68.780473614516424</c:v>
                </c:pt>
                <c:pt idx="10">
                  <c:v>55.365599504767438</c:v>
                </c:pt>
                <c:pt idx="11">
                  <c:v>121.84628359700329</c:v>
                </c:pt>
                <c:pt idx="12">
                  <c:v>63.677209895894123</c:v>
                </c:pt>
                <c:pt idx="13">
                  <c:v>75.075176591749354</c:v>
                </c:pt>
                <c:pt idx="14">
                  <c:v>72.989141302782627</c:v>
                </c:pt>
                <c:pt idx="15">
                  <c:v>107.11391351527533</c:v>
                </c:pt>
                <c:pt idx="16">
                  <c:v>301.55436071317371</c:v>
                </c:pt>
                <c:pt idx="17">
                  <c:v>91.954577146331957</c:v>
                </c:pt>
                <c:pt idx="18">
                  <c:v>111.81460902023738</c:v>
                </c:pt>
                <c:pt idx="19">
                  <c:v>41.430233159174911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3-48BB-85B4-12382307A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'Abr 25'!$I$43:$I$62</c:f>
              <c:numCache>
                <c:formatCode>_(* #,##0.00_);_(* \(#,##0.00\);_(* "-"??_);_(@_)</c:formatCode>
                <c:ptCount val="20"/>
                <c:pt idx="0">
                  <c:v>38.246284560225696</c:v>
                </c:pt>
                <c:pt idx="1">
                  <c:v>101.97811903191281</c:v>
                </c:pt>
                <c:pt idx="2">
                  <c:v>7.5209772630861789</c:v>
                </c:pt>
                <c:pt idx="3">
                  <c:v>74.676674723681629</c:v>
                </c:pt>
                <c:pt idx="4">
                  <c:v>149.34697883926833</c:v>
                </c:pt>
                <c:pt idx="5">
                  <c:v>154.4461762122981</c:v>
                </c:pt>
                <c:pt idx="6">
                  <c:v>74.282239201206451</c:v>
                </c:pt>
                <c:pt idx="7">
                  <c:v>66.942485406693891</c:v>
                </c:pt>
                <c:pt idx="8">
                  <c:v>53.023384443471464</c:v>
                </c:pt>
                <c:pt idx="9">
                  <c:v>92.906102014983446</c:v>
                </c:pt>
                <c:pt idx="10">
                  <c:v>39.966348745864927</c:v>
                </c:pt>
                <c:pt idx="11">
                  <c:v>61.253667922747596</c:v>
                </c:pt>
                <c:pt idx="12">
                  <c:v>52.271110508853845</c:v>
                </c:pt>
                <c:pt idx="13">
                  <c:v>22.65184921288186</c:v>
                </c:pt>
                <c:pt idx="14">
                  <c:v>82.325470783226294</c:v>
                </c:pt>
                <c:pt idx="15">
                  <c:v>52.543555663553192</c:v>
                </c:pt>
                <c:pt idx="16">
                  <c:v>282.44253642829341</c:v>
                </c:pt>
                <c:pt idx="17">
                  <c:v>63.091656130570129</c:v>
                </c:pt>
                <c:pt idx="18">
                  <c:v>144.29657761334889</c:v>
                </c:pt>
                <c:pt idx="19">
                  <c:v>85.834727029577721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3-47F1-8972-EBB30315E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'Abr 25'!$I$63:$I$82</c:f>
              <c:numCache>
                <c:formatCode>_(* #,##0.00_);_(* \(#,##0.00\);_(* "-"??_);_(@_)</c:formatCode>
                <c:ptCount val="20"/>
                <c:pt idx="0">
                  <c:v>85.236974227476153</c:v>
                </c:pt>
                <c:pt idx="1">
                  <c:v>25.847996848608652</c:v>
                </c:pt>
                <c:pt idx="2">
                  <c:v>80.088980707336049</c:v>
                </c:pt>
                <c:pt idx="3">
                  <c:v>83.122474519361731</c:v>
                </c:pt>
                <c:pt idx="4">
                  <c:v>47.672073643704977</c:v>
                </c:pt>
                <c:pt idx="5">
                  <c:v>63.217712843938486</c:v>
                </c:pt>
                <c:pt idx="6">
                  <c:v>12.44125543004473</c:v>
                </c:pt>
                <c:pt idx="7">
                  <c:v>64.144839639034814</c:v>
                </c:pt>
                <c:pt idx="8">
                  <c:v>66.893689259583553</c:v>
                </c:pt>
                <c:pt idx="9">
                  <c:v>80.642003707919812</c:v>
                </c:pt>
                <c:pt idx="10">
                  <c:v>40.982935143996862</c:v>
                </c:pt>
                <c:pt idx="11">
                  <c:v>42.556610888305094</c:v>
                </c:pt>
                <c:pt idx="12">
                  <c:v>93.910489376337793</c:v>
                </c:pt>
                <c:pt idx="13">
                  <c:v>123.64360834890056</c:v>
                </c:pt>
                <c:pt idx="14">
                  <c:v>142.10888368456898</c:v>
                </c:pt>
                <c:pt idx="15">
                  <c:v>57.813539551469134</c:v>
                </c:pt>
                <c:pt idx="16">
                  <c:v>122.46436812706752</c:v>
                </c:pt>
                <c:pt idx="17">
                  <c:v>91.177905138159147</c:v>
                </c:pt>
                <c:pt idx="18">
                  <c:v>61.123544863786705</c:v>
                </c:pt>
                <c:pt idx="19">
                  <c:v>142.72696821463319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8-4254-985C-1567B43BF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'Abr 25'!$I$83:$I$102</c:f>
              <c:numCache>
                <c:formatCode>_(* #,##0.00_);_(* \(#,##0.00\);_(* "-"??_);_(@_)</c:formatCode>
                <c:ptCount val="20"/>
                <c:pt idx="0">
                  <c:v>157.48780271550882</c:v>
                </c:pt>
                <c:pt idx="1">
                  <c:v>97.021243754621509</c:v>
                </c:pt>
                <c:pt idx="2">
                  <c:v>20.708136019653601</c:v>
                </c:pt>
                <c:pt idx="3">
                  <c:v>88.37619302490755</c:v>
                </c:pt>
                <c:pt idx="4">
                  <c:v>121.22413272134655</c:v>
                </c:pt>
                <c:pt idx="5">
                  <c:v>3.2350490085619517</c:v>
                </c:pt>
                <c:pt idx="6">
                  <c:v>165.29925259875463</c:v>
                </c:pt>
                <c:pt idx="7">
                  <c:v>4.2109719507686068</c:v>
                </c:pt>
                <c:pt idx="8">
                  <c:v>105.04820995427124</c:v>
                </c:pt>
                <c:pt idx="9">
                  <c:v>177.14451730978789</c:v>
                </c:pt>
                <c:pt idx="10">
                  <c:v>302.35136444930913</c:v>
                </c:pt>
                <c:pt idx="11">
                  <c:v>56.085342674644849</c:v>
                </c:pt>
                <c:pt idx="12">
                  <c:v>91.466615675228624</c:v>
                </c:pt>
                <c:pt idx="13">
                  <c:v>66.421993170850342</c:v>
                </c:pt>
                <c:pt idx="14">
                  <c:v>60.97309007686318</c:v>
                </c:pt>
                <c:pt idx="15">
                  <c:v>86.660195184860854</c:v>
                </c:pt>
                <c:pt idx="16">
                  <c:v>58.870789405526345</c:v>
                </c:pt>
                <c:pt idx="17">
                  <c:v>29.312523293442279</c:v>
                </c:pt>
                <c:pt idx="18">
                  <c:v>100.7175518982292</c:v>
                </c:pt>
                <c:pt idx="19">
                  <c:v>103.24681885678146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0-4129-8BC9-E6BAA801D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'Abr 25'!$I$103:$I$122</c:f>
              <c:numCache>
                <c:formatCode>_(* #,##0.00_);_(* \(#,##0.00\);_(* "-"??_);_(@_)</c:formatCode>
                <c:ptCount val="20"/>
                <c:pt idx="0">
                  <c:v>129.71059597295192</c:v>
                </c:pt>
                <c:pt idx="1">
                  <c:v>115.10021625899979</c:v>
                </c:pt>
                <c:pt idx="2">
                  <c:v>131.88202451936172</c:v>
                </c:pt>
                <c:pt idx="3">
                  <c:v>7.0818119390931837</c:v>
                </c:pt>
                <c:pt idx="4">
                  <c:v>3.2350490085619517</c:v>
                </c:pt>
                <c:pt idx="5">
                  <c:v>99.123544425958343</c:v>
                </c:pt>
                <c:pt idx="6">
                  <c:v>44.597916375754018</c:v>
                </c:pt>
                <c:pt idx="7">
                  <c:v>100.96966532496593</c:v>
                </c:pt>
                <c:pt idx="8">
                  <c:v>51.160998162093769</c:v>
                </c:pt>
                <c:pt idx="9">
                  <c:v>39.79149588538624</c:v>
                </c:pt>
                <c:pt idx="10">
                  <c:v>116.10460362035414</c:v>
                </c:pt>
                <c:pt idx="11">
                  <c:v>41.426166813582384</c:v>
                </c:pt>
                <c:pt idx="12">
                  <c:v>59.562068156256061</c:v>
                </c:pt>
                <c:pt idx="13">
                  <c:v>4.829056480832822</c:v>
                </c:pt>
                <c:pt idx="14">
                  <c:v>8.8872693821754964</c:v>
                </c:pt>
                <c:pt idx="15">
                  <c:v>66.206476854446379</c:v>
                </c:pt>
                <c:pt idx="16">
                  <c:v>84.069933042420686</c:v>
                </c:pt>
                <c:pt idx="17">
                  <c:v>176.35971261043005</c:v>
                </c:pt>
                <c:pt idx="18">
                  <c:v>45.581972009145723</c:v>
                </c:pt>
                <c:pt idx="19">
                  <c:v>115.97854690698577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F-47BE-BE1E-234640933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'Abr 25'!$I$123:$I$142</c:f>
              <c:numCache>
                <c:formatCode>_(* #,##0.00_);_(* \(#,##0.00\);_(* "-"??_);_(@_)</c:formatCode>
                <c:ptCount val="20"/>
                <c:pt idx="0">
                  <c:v>83.346123526950748</c:v>
                </c:pt>
                <c:pt idx="1">
                  <c:v>14.864797403191256</c:v>
                </c:pt>
                <c:pt idx="2">
                  <c:v>126.36805989589413</c:v>
                </c:pt>
                <c:pt idx="3">
                  <c:v>3.4708970529285601</c:v>
                </c:pt>
                <c:pt idx="4">
                  <c:v>53.995241040085595</c:v>
                </c:pt>
                <c:pt idx="5">
                  <c:v>64.657199183693308</c:v>
                </c:pt>
                <c:pt idx="6">
                  <c:v>3.2350490085619517</c:v>
                </c:pt>
                <c:pt idx="7">
                  <c:v>37.180902014983438</c:v>
                </c:pt>
                <c:pt idx="8">
                  <c:v>75.168702540377495</c:v>
                </c:pt>
                <c:pt idx="9">
                  <c:v>8.3383127271842525</c:v>
                </c:pt>
                <c:pt idx="10">
                  <c:v>51.165064507686296</c:v>
                </c:pt>
                <c:pt idx="11">
                  <c:v>91.495080094376334</c:v>
                </c:pt>
                <c:pt idx="12">
                  <c:v>31.626273935590557</c:v>
                </c:pt>
                <c:pt idx="13">
                  <c:v>3.2350490085619517</c:v>
                </c:pt>
                <c:pt idx="14">
                  <c:v>106.78453952228058</c:v>
                </c:pt>
                <c:pt idx="15">
                  <c:v>69.378226416618006</c:v>
                </c:pt>
                <c:pt idx="16">
                  <c:v>89.738418798404339</c:v>
                </c:pt>
                <c:pt idx="17">
                  <c:v>44.634513486086767</c:v>
                </c:pt>
                <c:pt idx="18">
                  <c:v>22.216750234481392</c:v>
                </c:pt>
                <c:pt idx="19">
                  <c:v>31.626273935590557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E-4844-AB6C-3834A6BD4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'Abr 25'!$I$143:$I$162</c:f>
              <c:numCache>
                <c:formatCode>_(* #,##0.00_);_(* \(#,##0.00\);_(* "-"??_);_(@_)</c:formatCode>
                <c:ptCount val="20"/>
                <c:pt idx="0">
                  <c:v>87.257947986962421</c:v>
                </c:pt>
                <c:pt idx="1">
                  <c:v>47.456557327301006</c:v>
                </c:pt>
                <c:pt idx="2">
                  <c:v>53.108777700914551</c:v>
                </c:pt>
                <c:pt idx="3">
                  <c:v>62.3109177768048</c:v>
                </c:pt>
                <c:pt idx="4">
                  <c:v>213.58710651002141</c:v>
                </c:pt>
                <c:pt idx="5">
                  <c:v>41.560356218135801</c:v>
                </c:pt>
                <c:pt idx="6">
                  <c:v>74.465224752870185</c:v>
                </c:pt>
                <c:pt idx="7">
                  <c:v>34.460516813582387</c:v>
                </c:pt>
                <c:pt idx="8">
                  <c:v>63.9821858153337</c:v>
                </c:pt>
                <c:pt idx="9">
                  <c:v>92.170093462735935</c:v>
                </c:pt>
                <c:pt idx="10">
                  <c:v>24.40444416326131</c:v>
                </c:pt>
                <c:pt idx="11">
                  <c:v>92.003373293442294</c:v>
                </c:pt>
                <c:pt idx="12">
                  <c:v>156.33296056723097</c:v>
                </c:pt>
                <c:pt idx="13">
                  <c:v>67.446712260167331</c:v>
                </c:pt>
                <c:pt idx="14">
                  <c:v>37.437081787312678</c:v>
                </c:pt>
                <c:pt idx="15">
                  <c:v>75.331356364078601</c:v>
                </c:pt>
                <c:pt idx="16">
                  <c:v>76.417070637283501</c:v>
                </c:pt>
                <c:pt idx="17">
                  <c:v>91.995240602257226</c:v>
                </c:pt>
                <c:pt idx="18">
                  <c:v>61.546444805409585</c:v>
                </c:pt>
                <c:pt idx="19">
                  <c:v>144.10952571609261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4-47BE-94DB-5E109CA5C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'Abr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'Abr 25'!$I$163:$I$182</c:f>
              <c:numCache>
                <c:formatCode>_(* #,##0.00_);_(* \(#,##0.00\);_(* "-"??_);_(@_)</c:formatCode>
                <c:ptCount val="20"/>
                <c:pt idx="0">
                  <c:v>94.264261442887701</c:v>
                </c:pt>
                <c:pt idx="1">
                  <c:v>135.54986824382175</c:v>
                </c:pt>
                <c:pt idx="2">
                  <c:v>26.596204437633755</c:v>
                </c:pt>
                <c:pt idx="3">
                  <c:v>146.6469253658299</c:v>
                </c:pt>
                <c:pt idx="4">
                  <c:v>81.638258378089105</c:v>
                </c:pt>
                <c:pt idx="5">
                  <c:v>120.54505300739442</c:v>
                </c:pt>
                <c:pt idx="6">
                  <c:v>49.579189726600482</c:v>
                </c:pt>
                <c:pt idx="7">
                  <c:v>59.236760508853841</c:v>
                </c:pt>
                <c:pt idx="8">
                  <c:v>63.469826270675206</c:v>
                </c:pt>
                <c:pt idx="9">
                  <c:v>51.978333626191841</c:v>
                </c:pt>
                <c:pt idx="10">
                  <c:v>71.773303970616837</c:v>
                </c:pt>
                <c:pt idx="11">
                  <c:v>102.00251710546797</c:v>
                </c:pt>
                <c:pt idx="12">
                  <c:v>6.3214053132904979</c:v>
                </c:pt>
                <c:pt idx="13">
                  <c:v>42.276033042420686</c:v>
                </c:pt>
                <c:pt idx="14">
                  <c:v>77.872822359408431</c:v>
                </c:pt>
                <c:pt idx="15">
                  <c:v>71.281276153920984</c:v>
                </c:pt>
                <c:pt idx="16">
                  <c:v>136.20861622981124</c:v>
                </c:pt>
                <c:pt idx="17">
                  <c:v>77.360462814749937</c:v>
                </c:pt>
                <c:pt idx="18">
                  <c:v>74.505888208795469</c:v>
                </c:pt>
                <c:pt idx="19">
                  <c:v>112.42049451352401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0-4343-98DD-1C4A48BD9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'May 25'!$I$3:$I$22</c:f>
              <c:numCache>
                <c:formatCode>_(* #,##0.00_);_(* \(#,##0.00\);_(* "-"??_);_(@_)</c:formatCode>
                <c:ptCount val="20"/>
                <c:pt idx="0">
                  <c:v>68.760827460317472</c:v>
                </c:pt>
                <c:pt idx="1">
                  <c:v>61.616360793650792</c:v>
                </c:pt>
                <c:pt idx="2">
                  <c:v>67.612609603174604</c:v>
                </c:pt>
                <c:pt idx="3">
                  <c:v>83.741160793650806</c:v>
                </c:pt>
                <c:pt idx="4">
                  <c:v>92.474201269841259</c:v>
                </c:pt>
                <c:pt idx="5">
                  <c:v>95.606078650793663</c:v>
                </c:pt>
                <c:pt idx="6">
                  <c:v>114.65250246031746</c:v>
                </c:pt>
                <c:pt idx="7">
                  <c:v>90.766278650793652</c:v>
                </c:pt>
                <c:pt idx="8">
                  <c:v>26.297344126984129</c:v>
                </c:pt>
                <c:pt idx="9">
                  <c:v>133.56723103174605</c:v>
                </c:pt>
                <c:pt idx="10">
                  <c:v>88.877275079365091</c:v>
                </c:pt>
                <c:pt idx="11">
                  <c:v>69.143566746031752</c:v>
                </c:pt>
                <c:pt idx="12">
                  <c:v>42.631669126984129</c:v>
                </c:pt>
                <c:pt idx="13">
                  <c:v>76.732504841269844</c:v>
                </c:pt>
                <c:pt idx="14">
                  <c:v>70.686870317460318</c:v>
                </c:pt>
                <c:pt idx="15">
                  <c:v>91.877457222222233</c:v>
                </c:pt>
                <c:pt idx="16">
                  <c:v>117.13825007936508</c:v>
                </c:pt>
                <c:pt idx="17">
                  <c:v>186.03543698412699</c:v>
                </c:pt>
                <c:pt idx="18">
                  <c:v>95.239801269841266</c:v>
                </c:pt>
                <c:pt idx="19">
                  <c:v>35.392546507936508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4-4952-8793-9DB158C4C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'May 25'!$I$23:$I$42</c:f>
              <c:numCache>
                <c:formatCode>_(* #,##0.00_);_(* \(#,##0.00\);_(* "-"??_);_(@_)</c:formatCode>
                <c:ptCount val="20"/>
                <c:pt idx="0">
                  <c:v>67.456221507936505</c:v>
                </c:pt>
                <c:pt idx="1">
                  <c:v>98.894344126984137</c:v>
                </c:pt>
                <c:pt idx="2">
                  <c:v>85.453198888888892</c:v>
                </c:pt>
                <c:pt idx="3">
                  <c:v>82.720522698412708</c:v>
                </c:pt>
                <c:pt idx="4">
                  <c:v>129.46410126984128</c:v>
                </c:pt>
                <c:pt idx="5">
                  <c:v>110.74691555555556</c:v>
                </c:pt>
                <c:pt idx="6">
                  <c:v>73.810516746031752</c:v>
                </c:pt>
                <c:pt idx="7">
                  <c:v>90.478195317460319</c:v>
                </c:pt>
                <c:pt idx="8">
                  <c:v>65.291481031746031</c:v>
                </c:pt>
                <c:pt idx="9">
                  <c:v>80.778017936507936</c:v>
                </c:pt>
                <c:pt idx="10">
                  <c:v>69.22587626984128</c:v>
                </c:pt>
                <c:pt idx="11">
                  <c:v>138.00371436507936</c:v>
                </c:pt>
                <c:pt idx="12">
                  <c:v>110.10490126984128</c:v>
                </c:pt>
                <c:pt idx="13">
                  <c:v>82.304859603174606</c:v>
                </c:pt>
                <c:pt idx="14">
                  <c:v>75.004004841269847</c:v>
                </c:pt>
                <c:pt idx="15">
                  <c:v>106.54089888888889</c:v>
                </c:pt>
                <c:pt idx="16">
                  <c:v>297.83646317460318</c:v>
                </c:pt>
                <c:pt idx="17">
                  <c:v>109.38880841269842</c:v>
                </c:pt>
                <c:pt idx="18">
                  <c:v>113.44255246031747</c:v>
                </c:pt>
                <c:pt idx="19">
                  <c:v>50.916122698412707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0-4DFF-A3D4-0EAA05539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'Ene 25'!$I$43:$I$62</c:f>
              <c:numCache>
                <c:formatCode>_(* #,##0.00_);_(* \(#,##0.00\);_(* "-"??_);_(@_)</c:formatCode>
                <c:ptCount val="20"/>
                <c:pt idx="0">
                  <c:v>11.624745513218167</c:v>
                </c:pt>
                <c:pt idx="1">
                  <c:v>49.254757224601754</c:v>
                </c:pt>
                <c:pt idx="2">
                  <c:v>4.1782570349200281</c:v>
                </c:pt>
                <c:pt idx="3">
                  <c:v>22.771803174397721</c:v>
                </c:pt>
                <c:pt idx="4">
                  <c:v>48.979633208554212</c:v>
                </c:pt>
                <c:pt idx="5">
                  <c:v>42.558057273554105</c:v>
                </c:pt>
                <c:pt idx="6">
                  <c:v>30.203174948517422</c:v>
                </c:pt>
                <c:pt idx="7">
                  <c:v>14.143188429345795</c:v>
                </c:pt>
                <c:pt idx="8">
                  <c:v>13.547590284715371</c:v>
                </c:pt>
                <c:pt idx="9">
                  <c:v>25.820842407188493</c:v>
                </c:pt>
                <c:pt idx="10">
                  <c:v>12.239995373280559</c:v>
                </c:pt>
                <c:pt idx="11">
                  <c:v>18.569359412792195</c:v>
                </c:pt>
                <c:pt idx="12">
                  <c:v>12.837105188328827</c:v>
                </c:pt>
                <c:pt idx="13">
                  <c:v>49.115683546160135</c:v>
                </c:pt>
                <c:pt idx="14">
                  <c:v>8.9037387610994791</c:v>
                </c:pt>
                <c:pt idx="15">
                  <c:v>19.180074261601053</c:v>
                </c:pt>
                <c:pt idx="16">
                  <c:v>54.092102561701651</c:v>
                </c:pt>
                <c:pt idx="17">
                  <c:v>18.073531515739454</c:v>
                </c:pt>
                <c:pt idx="18">
                  <c:v>42.081881091933333</c:v>
                </c:pt>
                <c:pt idx="19">
                  <c:v>26.591794320288788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D-4CB1-BBB8-EDD5CD94F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'May 25'!$I$43:$I$62</c:f>
              <c:numCache>
                <c:formatCode>_(* #,##0.00_);_(* \(#,##0.00\);_(* "-"??_);_(@_)</c:formatCode>
                <c:ptCount val="20"/>
                <c:pt idx="0">
                  <c:v>82.066161984126978</c:v>
                </c:pt>
                <c:pt idx="1">
                  <c:v>110.7551465079365</c:v>
                </c:pt>
                <c:pt idx="2">
                  <c:v>33.729894126984128</c:v>
                </c:pt>
                <c:pt idx="3">
                  <c:v>92.651166746031748</c:v>
                </c:pt>
                <c:pt idx="4">
                  <c:v>144.88890603174605</c:v>
                </c:pt>
                <c:pt idx="5">
                  <c:v>145.72434769841271</c:v>
                </c:pt>
                <c:pt idx="6">
                  <c:v>79.913767936507952</c:v>
                </c:pt>
                <c:pt idx="7">
                  <c:v>68.678517936507944</c:v>
                </c:pt>
                <c:pt idx="8">
                  <c:v>74.5965726984127</c:v>
                </c:pt>
                <c:pt idx="9">
                  <c:v>85.663088174603189</c:v>
                </c:pt>
                <c:pt idx="10">
                  <c:v>71.188958412698412</c:v>
                </c:pt>
                <c:pt idx="11">
                  <c:v>79.670954841269833</c:v>
                </c:pt>
                <c:pt idx="12">
                  <c:v>55.965811984126987</c:v>
                </c:pt>
                <c:pt idx="13">
                  <c:v>64.505425079365082</c:v>
                </c:pt>
                <c:pt idx="14">
                  <c:v>83.341959603174615</c:v>
                </c:pt>
                <c:pt idx="15">
                  <c:v>68.929561984126991</c:v>
                </c:pt>
                <c:pt idx="16">
                  <c:v>218.185536984127</c:v>
                </c:pt>
                <c:pt idx="17">
                  <c:v>79.884959603174607</c:v>
                </c:pt>
                <c:pt idx="18">
                  <c:v>142.47312150793653</c:v>
                </c:pt>
                <c:pt idx="19">
                  <c:v>100.7133846031746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F-4490-88DB-A3B00F548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'May 25'!$I$63:$I$82</c:f>
              <c:numCache>
                <c:formatCode>_(* #,##0.00_);_(* \(#,##0.00\);_(* "-"??_);_(@_)</c:formatCode>
                <c:ptCount val="20"/>
                <c:pt idx="0">
                  <c:v>133.82239055555556</c:v>
                </c:pt>
                <c:pt idx="1">
                  <c:v>53.784609603174601</c:v>
                </c:pt>
                <c:pt idx="2">
                  <c:v>88.527459603174606</c:v>
                </c:pt>
                <c:pt idx="3">
                  <c:v>106.98537031746032</c:v>
                </c:pt>
                <c:pt idx="4">
                  <c:v>67.871884603174607</c:v>
                </c:pt>
                <c:pt idx="5">
                  <c:v>151.23497031746032</c:v>
                </c:pt>
                <c:pt idx="6">
                  <c:v>36.487263174603171</c:v>
                </c:pt>
                <c:pt idx="7">
                  <c:v>80.629860793650806</c:v>
                </c:pt>
                <c:pt idx="8">
                  <c:v>82.34601436507937</c:v>
                </c:pt>
                <c:pt idx="9">
                  <c:v>92.844594126984134</c:v>
                </c:pt>
                <c:pt idx="10">
                  <c:v>56.286819126984128</c:v>
                </c:pt>
                <c:pt idx="11">
                  <c:v>60.933191746031753</c:v>
                </c:pt>
                <c:pt idx="12">
                  <c:v>102.46246198412699</c:v>
                </c:pt>
                <c:pt idx="13">
                  <c:v>123.0645357936508</c:v>
                </c:pt>
                <c:pt idx="14">
                  <c:v>112.00625126984127</c:v>
                </c:pt>
                <c:pt idx="15">
                  <c:v>71.625198888888889</c:v>
                </c:pt>
                <c:pt idx="16">
                  <c:v>167.33882865079363</c:v>
                </c:pt>
                <c:pt idx="17">
                  <c:v>172.60663817460318</c:v>
                </c:pt>
                <c:pt idx="18">
                  <c:v>88.05829531746032</c:v>
                </c:pt>
                <c:pt idx="19">
                  <c:v>144.5308596031746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A-47C3-ACDE-C0DAF4E2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'May 25'!$I$83:$I$102</c:f>
              <c:numCache>
                <c:formatCode>_(* #,##0.00_);_(* \(#,##0.00\);_(* "-"??_);_(@_)</c:formatCode>
                <c:ptCount val="20"/>
                <c:pt idx="0">
                  <c:v>157.07071555555558</c:v>
                </c:pt>
                <c:pt idx="1">
                  <c:v>107.91135246031746</c:v>
                </c:pt>
                <c:pt idx="2">
                  <c:v>40.117113174603176</c:v>
                </c:pt>
                <c:pt idx="3">
                  <c:v>89.453441746031757</c:v>
                </c:pt>
                <c:pt idx="4">
                  <c:v>137.58805126984129</c:v>
                </c:pt>
                <c:pt idx="5">
                  <c:v>26.260304841269843</c:v>
                </c:pt>
                <c:pt idx="6">
                  <c:v>158.92679531746035</c:v>
                </c:pt>
                <c:pt idx="7">
                  <c:v>26.795316746031748</c:v>
                </c:pt>
                <c:pt idx="8">
                  <c:v>117.38929412698413</c:v>
                </c:pt>
                <c:pt idx="9">
                  <c:v>164.35510841269843</c:v>
                </c:pt>
                <c:pt idx="10">
                  <c:v>270.61258817460316</c:v>
                </c:pt>
                <c:pt idx="11">
                  <c:v>45.504271507936508</c:v>
                </c:pt>
                <c:pt idx="12">
                  <c:v>91.428870317460323</c:v>
                </c:pt>
                <c:pt idx="13">
                  <c:v>86.440913174603182</c:v>
                </c:pt>
                <c:pt idx="14">
                  <c:v>71.74866317460318</c:v>
                </c:pt>
                <c:pt idx="15">
                  <c:v>100.84919531746031</c:v>
                </c:pt>
                <c:pt idx="16">
                  <c:v>78.316963174603188</c:v>
                </c:pt>
                <c:pt idx="17">
                  <c:v>100.74630841269841</c:v>
                </c:pt>
                <c:pt idx="18">
                  <c:v>105.06344293650794</c:v>
                </c:pt>
                <c:pt idx="19">
                  <c:v>119.07663936507937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B-49F1-8864-0399EBEF7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'May 25'!$I$103:$I$122</c:f>
              <c:numCache>
                <c:formatCode>_(* #,##0.00_);_(* \(#,##0.00\);_(* "-"??_);_(@_)</c:formatCode>
                <c:ptCount val="20"/>
                <c:pt idx="0">
                  <c:v>145.63380722222223</c:v>
                </c:pt>
                <c:pt idx="1">
                  <c:v>140.09437626984129</c:v>
                </c:pt>
                <c:pt idx="2">
                  <c:v>98.820265555555565</c:v>
                </c:pt>
                <c:pt idx="3">
                  <c:v>29.235794126984128</c:v>
                </c:pt>
                <c:pt idx="4">
                  <c:v>67.410951269841277</c:v>
                </c:pt>
                <c:pt idx="5">
                  <c:v>110.82510960317461</c:v>
                </c:pt>
                <c:pt idx="6">
                  <c:v>64.879933412698421</c:v>
                </c:pt>
                <c:pt idx="7">
                  <c:v>86.193984603174613</c:v>
                </c:pt>
                <c:pt idx="8">
                  <c:v>81.510572698412702</c:v>
                </c:pt>
                <c:pt idx="9">
                  <c:v>58.109975079365086</c:v>
                </c:pt>
                <c:pt idx="10">
                  <c:v>107.475111984127</c:v>
                </c:pt>
                <c:pt idx="11">
                  <c:v>69.843197698412695</c:v>
                </c:pt>
                <c:pt idx="12">
                  <c:v>72.242520317460318</c:v>
                </c:pt>
                <c:pt idx="13">
                  <c:v>31.997278650793653</c:v>
                </c:pt>
                <c:pt idx="14">
                  <c:v>28.178116746031748</c:v>
                </c:pt>
                <c:pt idx="15">
                  <c:v>86.696072698412706</c:v>
                </c:pt>
                <c:pt idx="16">
                  <c:v>93.009213174603175</c:v>
                </c:pt>
                <c:pt idx="17">
                  <c:v>183.37683936507938</c:v>
                </c:pt>
                <c:pt idx="18">
                  <c:v>86.284525079365082</c:v>
                </c:pt>
                <c:pt idx="19">
                  <c:v>160.30959531746032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A-48E4-861F-2A4D613EE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'May 25'!$I$123:$I$142</c:f>
              <c:numCache>
                <c:formatCode>_(* #,##0.00_);_(* \(#,##0.00\);_(* "-"??_);_(@_)</c:formatCode>
                <c:ptCount val="20"/>
                <c:pt idx="0">
                  <c:v>101.17020246031747</c:v>
                </c:pt>
                <c:pt idx="1">
                  <c:v>52.76397150793651</c:v>
                </c:pt>
                <c:pt idx="2">
                  <c:v>101.76694650793651</c:v>
                </c:pt>
                <c:pt idx="3">
                  <c:v>35.754708412698413</c:v>
                </c:pt>
                <c:pt idx="4">
                  <c:v>70.637484603174613</c:v>
                </c:pt>
                <c:pt idx="5">
                  <c:v>88.967815555555561</c:v>
                </c:pt>
                <c:pt idx="6">
                  <c:v>26.758277460317462</c:v>
                </c:pt>
                <c:pt idx="7">
                  <c:v>53.282521507936508</c:v>
                </c:pt>
                <c:pt idx="8">
                  <c:v>125.96183103174603</c:v>
                </c:pt>
                <c:pt idx="9">
                  <c:v>37.347397698412699</c:v>
                </c:pt>
                <c:pt idx="10">
                  <c:v>76.925932222222229</c:v>
                </c:pt>
                <c:pt idx="11">
                  <c:v>110.87037984126985</c:v>
                </c:pt>
                <c:pt idx="12">
                  <c:v>54.72705365079365</c:v>
                </c:pt>
                <c:pt idx="13">
                  <c:v>28.634934603174603</c:v>
                </c:pt>
                <c:pt idx="14">
                  <c:v>124.73541912698413</c:v>
                </c:pt>
                <c:pt idx="15">
                  <c:v>106.41743460317461</c:v>
                </c:pt>
                <c:pt idx="16">
                  <c:v>102.26491912698413</c:v>
                </c:pt>
                <c:pt idx="17">
                  <c:v>57.636695317460322</c:v>
                </c:pt>
                <c:pt idx="18">
                  <c:v>62.587613174603177</c:v>
                </c:pt>
                <c:pt idx="19">
                  <c:v>50.414034603174599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A-4772-A730-0F909CE97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'May 25'!$I$143:$I$162</c:f>
              <c:numCache>
                <c:formatCode>_(* #,##0.00_);_(* \(#,##0.00\);_(* "-"??_);_(@_)</c:formatCode>
                <c:ptCount val="20"/>
                <c:pt idx="0">
                  <c:v>115.83775960317462</c:v>
                </c:pt>
                <c:pt idx="1">
                  <c:v>55.01925246031746</c:v>
                </c:pt>
                <c:pt idx="2">
                  <c:v>69.699156031746043</c:v>
                </c:pt>
                <c:pt idx="3">
                  <c:v>89.070702460317463</c:v>
                </c:pt>
                <c:pt idx="4">
                  <c:v>186.13009293650794</c:v>
                </c:pt>
                <c:pt idx="5">
                  <c:v>61.838596507936508</c:v>
                </c:pt>
                <c:pt idx="6">
                  <c:v>77.045281031746043</c:v>
                </c:pt>
                <c:pt idx="7">
                  <c:v>50.047757222222224</c:v>
                </c:pt>
                <c:pt idx="8">
                  <c:v>81.72869293650794</c:v>
                </c:pt>
                <c:pt idx="9">
                  <c:v>111.11319293650794</c:v>
                </c:pt>
                <c:pt idx="10">
                  <c:v>63.097932222222227</c:v>
                </c:pt>
                <c:pt idx="11">
                  <c:v>92.935134603174603</c:v>
                </c:pt>
                <c:pt idx="12">
                  <c:v>134.74014174603175</c:v>
                </c:pt>
                <c:pt idx="13">
                  <c:v>82.420092936507942</c:v>
                </c:pt>
                <c:pt idx="14">
                  <c:v>159.00087388888886</c:v>
                </c:pt>
                <c:pt idx="15">
                  <c:v>96.186360793650792</c:v>
                </c:pt>
                <c:pt idx="16">
                  <c:v>155.49860365079365</c:v>
                </c:pt>
                <c:pt idx="17">
                  <c:v>96.527945317460322</c:v>
                </c:pt>
                <c:pt idx="18">
                  <c:v>88.41222626984127</c:v>
                </c:pt>
                <c:pt idx="19">
                  <c:v>151.68767269841271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2-4C7B-AFE0-499AD1C28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'May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'May 25'!$I$163:$I$182</c:f>
              <c:numCache>
                <c:formatCode>_(* #,##0.00_);_(* \(#,##0.00\);_(* "-"??_);_(@_)</c:formatCode>
                <c:ptCount val="20"/>
                <c:pt idx="0">
                  <c:v>83.341959603174615</c:v>
                </c:pt>
                <c:pt idx="1">
                  <c:v>126.01533222222223</c:v>
                </c:pt>
                <c:pt idx="2">
                  <c:v>60.916729841269841</c:v>
                </c:pt>
                <c:pt idx="3">
                  <c:v>136.05297865079365</c:v>
                </c:pt>
                <c:pt idx="4">
                  <c:v>95.223339365079369</c:v>
                </c:pt>
                <c:pt idx="5">
                  <c:v>117.10121079365079</c:v>
                </c:pt>
                <c:pt idx="6">
                  <c:v>73.477163174603177</c:v>
                </c:pt>
                <c:pt idx="7">
                  <c:v>78.53919888888889</c:v>
                </c:pt>
                <c:pt idx="8">
                  <c:v>72.012053650793661</c:v>
                </c:pt>
                <c:pt idx="9">
                  <c:v>85.59312507936508</c:v>
                </c:pt>
                <c:pt idx="10">
                  <c:v>80.358239365079356</c:v>
                </c:pt>
                <c:pt idx="11">
                  <c:v>132.50132269841271</c:v>
                </c:pt>
                <c:pt idx="12">
                  <c:v>26.260304841269843</c:v>
                </c:pt>
                <c:pt idx="13">
                  <c:v>59.336386984126989</c:v>
                </c:pt>
                <c:pt idx="14">
                  <c:v>92.889864365079376</c:v>
                </c:pt>
                <c:pt idx="15">
                  <c:v>66.694858412698409</c:v>
                </c:pt>
                <c:pt idx="16">
                  <c:v>268.484886984127</c:v>
                </c:pt>
                <c:pt idx="17">
                  <c:v>64.97047388888889</c:v>
                </c:pt>
                <c:pt idx="18">
                  <c:v>89.539866746031748</c:v>
                </c:pt>
                <c:pt idx="19">
                  <c:v>120.85864055555557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0-4CE0-A393-58FA78EA9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'Jun 25'!$I$3:$I$22</c:f>
              <c:numCache>
                <c:formatCode>_(* #,##0.00_);_(* \(#,##0.00\);_(* "-"??_);_(@_)</c:formatCode>
                <c:ptCount val="20"/>
                <c:pt idx="0">
                  <c:v>57.476328658328853</c:v>
                </c:pt>
                <c:pt idx="1">
                  <c:v>55.523329976241712</c:v>
                </c:pt>
                <c:pt idx="2">
                  <c:v>59.674937722341767</c:v>
                </c:pt>
                <c:pt idx="3">
                  <c:v>62.539071692218045</c:v>
                </c:pt>
                <c:pt idx="4">
                  <c:v>101.23459121884527</c:v>
                </c:pt>
                <c:pt idx="5">
                  <c:v>84.40631859915726</c:v>
                </c:pt>
                <c:pt idx="6">
                  <c:v>106.84005396763494</c:v>
                </c:pt>
                <c:pt idx="7">
                  <c:v>71.456313139232577</c:v>
                </c:pt>
                <c:pt idx="8">
                  <c:v>17.727061364084637</c:v>
                </c:pt>
                <c:pt idx="9">
                  <c:v>108.74947661421912</c:v>
                </c:pt>
                <c:pt idx="10">
                  <c:v>88.435121154294436</c:v>
                </c:pt>
                <c:pt idx="11">
                  <c:v>43.821183714810836</c:v>
                </c:pt>
                <c:pt idx="12">
                  <c:v>45.36615224627937</c:v>
                </c:pt>
                <c:pt idx="13">
                  <c:v>63.125367442621496</c:v>
                </c:pt>
                <c:pt idx="14">
                  <c:v>58.633074328043762</c:v>
                </c:pt>
                <c:pt idx="15">
                  <c:v>75.085008459297129</c:v>
                </c:pt>
                <c:pt idx="16">
                  <c:v>102.11007338667744</c:v>
                </c:pt>
                <c:pt idx="17">
                  <c:v>151.33910913170166</c:v>
                </c:pt>
                <c:pt idx="18">
                  <c:v>92.994759051013091</c:v>
                </c:pt>
                <c:pt idx="19">
                  <c:v>29.575781563116376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A-416F-B598-43459BFEA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'Jun 25'!$I$23:$I$42</c:f>
              <c:numCache>
                <c:formatCode>_(* #,##0.00_);_(* \(#,##0.00\);_(* "-"??_);_(@_)</c:formatCode>
                <c:ptCount val="20"/>
                <c:pt idx="0">
                  <c:v>51.676754478662374</c:v>
                </c:pt>
                <c:pt idx="1">
                  <c:v>114.84616012686033</c:v>
                </c:pt>
                <c:pt idx="2">
                  <c:v>83.511029142460117</c:v>
                </c:pt>
                <c:pt idx="3">
                  <c:v>86.878268249506903</c:v>
                </c:pt>
                <c:pt idx="4">
                  <c:v>121.09337903487538</c:v>
                </c:pt>
                <c:pt idx="5">
                  <c:v>58.078470239824284</c:v>
                </c:pt>
                <c:pt idx="6">
                  <c:v>64.717873467365976</c:v>
                </c:pt>
                <c:pt idx="7">
                  <c:v>73.238969137080872</c:v>
                </c:pt>
                <c:pt idx="8">
                  <c:v>64.293997485655382</c:v>
                </c:pt>
                <c:pt idx="9">
                  <c:v>71.697962063385347</c:v>
                </c:pt>
                <c:pt idx="10">
                  <c:v>63.640356953110995</c:v>
                </c:pt>
                <c:pt idx="11">
                  <c:v>121.47764043885603</c:v>
                </c:pt>
                <c:pt idx="12">
                  <c:v>50.579430675542412</c:v>
                </c:pt>
                <c:pt idx="13">
                  <c:v>62.539071692218045</c:v>
                </c:pt>
                <c:pt idx="14">
                  <c:v>72.10203075623096</c:v>
                </c:pt>
                <c:pt idx="15">
                  <c:v>102.60129415052897</c:v>
                </c:pt>
                <c:pt idx="16">
                  <c:v>242.51602123498299</c:v>
                </c:pt>
                <c:pt idx="17">
                  <c:v>123.28802664111531</c:v>
                </c:pt>
                <c:pt idx="18">
                  <c:v>97.843583365160484</c:v>
                </c:pt>
                <c:pt idx="19">
                  <c:v>40.941203913842571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B-4ED4-80D4-51144099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'Jun 25'!$I$43:$I$62</c:f>
              <c:numCache>
                <c:formatCode>_(* #,##0.00_);_(* \(#,##0.00\);_(* "-"??_);_(@_)</c:formatCode>
                <c:ptCount val="20"/>
                <c:pt idx="0">
                  <c:v>40.624287292002876</c:v>
                </c:pt>
                <c:pt idx="1">
                  <c:v>89.183836673390715</c:v>
                </c:pt>
                <c:pt idx="2">
                  <c:v>19.957362090281517</c:v>
                </c:pt>
                <c:pt idx="3">
                  <c:v>105.726884333423</c:v>
                </c:pt>
                <c:pt idx="4">
                  <c:v>121.94905391384258</c:v>
                </c:pt>
                <c:pt idx="5">
                  <c:v>130.00269756634393</c:v>
                </c:pt>
                <c:pt idx="6">
                  <c:v>94.408999475972749</c:v>
                </c:pt>
                <c:pt idx="7">
                  <c:v>58.359733741707018</c:v>
                </c:pt>
                <c:pt idx="8">
                  <c:v>49.735640169894211</c:v>
                </c:pt>
                <c:pt idx="9">
                  <c:v>79.133618303299272</c:v>
                </c:pt>
                <c:pt idx="10">
                  <c:v>62.35684463466022</c:v>
                </c:pt>
                <c:pt idx="11">
                  <c:v>63.454168437780183</c:v>
                </c:pt>
                <c:pt idx="12">
                  <c:v>17.734984279630631</c:v>
                </c:pt>
                <c:pt idx="13">
                  <c:v>27.080063166128749</c:v>
                </c:pt>
                <c:pt idx="14">
                  <c:v>84.913385194100783</c:v>
                </c:pt>
                <c:pt idx="15">
                  <c:v>57.91208901335844</c:v>
                </c:pt>
                <c:pt idx="16">
                  <c:v>69.257704075219664</c:v>
                </c:pt>
                <c:pt idx="17">
                  <c:v>65.320015048861407</c:v>
                </c:pt>
                <c:pt idx="18">
                  <c:v>136.09541962121213</c:v>
                </c:pt>
                <c:pt idx="19">
                  <c:v>92.202467496413846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1-42F6-A117-69DAADBF0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'Ene 25'!$I$63:$I$82</c:f>
              <c:numCache>
                <c:formatCode>_(* #,##0.00_);_(* \(#,##0.00\);_(* "-"??_);_(@_)</c:formatCode>
                <c:ptCount val="20"/>
                <c:pt idx="0">
                  <c:v>21.379554719563661</c:v>
                </c:pt>
                <c:pt idx="1">
                  <c:v>4.6075714335876432</c:v>
                </c:pt>
                <c:pt idx="2">
                  <c:v>23.078672269219993</c:v>
                </c:pt>
                <c:pt idx="3">
                  <c:v>22.405978933279542</c:v>
                </c:pt>
                <c:pt idx="4">
                  <c:v>14.561921135088506</c:v>
                </c:pt>
                <c:pt idx="5">
                  <c:v>43.316915823311646</c:v>
                </c:pt>
                <c:pt idx="6">
                  <c:v>2.5501879949023469</c:v>
                </c:pt>
                <c:pt idx="7">
                  <c:v>16.319993831040744</c:v>
                </c:pt>
                <c:pt idx="8">
                  <c:v>19.568573558986888</c:v>
                </c:pt>
                <c:pt idx="9">
                  <c:v>33.896185779309619</c:v>
                </c:pt>
                <c:pt idx="10">
                  <c:v>22.18527505227436</c:v>
                </c:pt>
                <c:pt idx="11">
                  <c:v>5.8728395733228327</c:v>
                </c:pt>
                <c:pt idx="12">
                  <c:v>34.61876423903891</c:v>
                </c:pt>
                <c:pt idx="13">
                  <c:v>31.834267329370793</c:v>
                </c:pt>
                <c:pt idx="14">
                  <c:v>42.577708988986075</c:v>
                </c:pt>
                <c:pt idx="15">
                  <c:v>18.501334243989227</c:v>
                </c:pt>
                <c:pt idx="16">
                  <c:v>31.609028437112077</c:v>
                </c:pt>
                <c:pt idx="17">
                  <c:v>28.231956723649219</c:v>
                </c:pt>
                <c:pt idx="18">
                  <c:v>6.797981869043185</c:v>
                </c:pt>
                <c:pt idx="19">
                  <c:v>33.572688309891063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D-4474-BA88-FA93CAEAE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'Jun 25'!$I$63:$I$82</c:f>
              <c:numCache>
                <c:formatCode>_(* #,##0.00_);_(* \(#,##0.00\);_(* "-"??_);_(@_)</c:formatCode>
                <c:ptCount val="20"/>
                <c:pt idx="0">
                  <c:v>91.782552972476239</c:v>
                </c:pt>
                <c:pt idx="1">
                  <c:v>44.217329492110466</c:v>
                </c:pt>
                <c:pt idx="2">
                  <c:v>83.003962547516593</c:v>
                </c:pt>
                <c:pt idx="3">
                  <c:v>99.234055043482158</c:v>
                </c:pt>
                <c:pt idx="4">
                  <c:v>52.445277286623636</c:v>
                </c:pt>
                <c:pt idx="5">
                  <c:v>154.61523470996954</c:v>
                </c:pt>
                <c:pt idx="6">
                  <c:v>32.142806200017937</c:v>
                </c:pt>
                <c:pt idx="7">
                  <c:v>72.240681778285833</c:v>
                </c:pt>
                <c:pt idx="8">
                  <c:v>68.417875027344465</c:v>
                </c:pt>
                <c:pt idx="9">
                  <c:v>82.267131401739292</c:v>
                </c:pt>
                <c:pt idx="10">
                  <c:v>49.458338125784479</c:v>
                </c:pt>
                <c:pt idx="11">
                  <c:v>43.591419163977051</c:v>
                </c:pt>
                <c:pt idx="12">
                  <c:v>76.899356119329397</c:v>
                </c:pt>
                <c:pt idx="13">
                  <c:v>105.24358648511745</c:v>
                </c:pt>
                <c:pt idx="14">
                  <c:v>104.60183032589207</c:v>
                </c:pt>
                <c:pt idx="15">
                  <c:v>73.143894150528965</c:v>
                </c:pt>
                <c:pt idx="16">
                  <c:v>142.89328115967368</c:v>
                </c:pt>
                <c:pt idx="17">
                  <c:v>94.587265075757585</c:v>
                </c:pt>
                <c:pt idx="18">
                  <c:v>85.198610153756505</c:v>
                </c:pt>
                <c:pt idx="19">
                  <c:v>123.43856203648917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C-4E40-B0D3-0C70B33E9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'Jun 25'!$I$83:$I$102</c:f>
              <c:numCache>
                <c:formatCode>_(* #,##0.00_);_(* \(#,##0.00\);_(* "-"??_);_(@_)</c:formatCode>
                <c:ptCount val="20"/>
                <c:pt idx="0">
                  <c:v>177.22327422045905</c:v>
                </c:pt>
                <c:pt idx="1">
                  <c:v>95.438978496951776</c:v>
                </c:pt>
                <c:pt idx="2">
                  <c:v>32.206189524385877</c:v>
                </c:pt>
                <c:pt idx="3">
                  <c:v>88.526234683073341</c:v>
                </c:pt>
                <c:pt idx="4">
                  <c:v>143.07550821723149</c:v>
                </c:pt>
                <c:pt idx="5">
                  <c:v>17.727061364084637</c:v>
                </c:pt>
                <c:pt idx="6">
                  <c:v>165.2913634081944</c:v>
                </c:pt>
                <c:pt idx="7">
                  <c:v>19.985092294692492</c:v>
                </c:pt>
                <c:pt idx="8">
                  <c:v>110.38952013223957</c:v>
                </c:pt>
                <c:pt idx="9">
                  <c:v>170.14811063788778</c:v>
                </c:pt>
                <c:pt idx="10">
                  <c:v>175.58719216021163</c:v>
                </c:pt>
                <c:pt idx="11">
                  <c:v>63.137251815940473</c:v>
                </c:pt>
                <c:pt idx="12">
                  <c:v>116.71596819571455</c:v>
                </c:pt>
                <c:pt idx="13">
                  <c:v>72.046570347409002</c:v>
                </c:pt>
                <c:pt idx="14">
                  <c:v>63.030292456069574</c:v>
                </c:pt>
                <c:pt idx="15">
                  <c:v>84.945076856284743</c:v>
                </c:pt>
                <c:pt idx="16">
                  <c:v>69.245819701900672</c:v>
                </c:pt>
                <c:pt idx="17">
                  <c:v>56.184893424332088</c:v>
                </c:pt>
                <c:pt idx="18">
                  <c:v>103.16382115429442</c:v>
                </c:pt>
                <c:pt idx="19">
                  <c:v>92.899684064461184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1-4C68-B69D-E2590DCC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'Jun 25'!$I$103:$I$122</c:f>
              <c:numCache>
                <c:formatCode>_(* #,##0.00_);_(* \(#,##0.00\);_(* "-"??_);_(@_)</c:formatCode>
                <c:ptCount val="20"/>
                <c:pt idx="0">
                  <c:v>149.00581050340688</c:v>
                </c:pt>
                <c:pt idx="1">
                  <c:v>128.7667227411691</c:v>
                </c:pt>
                <c:pt idx="2">
                  <c:v>73.508348265644614</c:v>
                </c:pt>
                <c:pt idx="3">
                  <c:v>18.622350820781786</c:v>
                </c:pt>
                <c:pt idx="4">
                  <c:v>17.727061364084637</c:v>
                </c:pt>
                <c:pt idx="5">
                  <c:v>98.620029088667749</c:v>
                </c:pt>
                <c:pt idx="6">
                  <c:v>59.512517953648924</c:v>
                </c:pt>
                <c:pt idx="7">
                  <c:v>66.421300309754358</c:v>
                </c:pt>
                <c:pt idx="8">
                  <c:v>61.00598753406851</c:v>
                </c:pt>
                <c:pt idx="9">
                  <c:v>51.490565963331548</c:v>
                </c:pt>
                <c:pt idx="10">
                  <c:v>135.01790310695716</c:v>
                </c:pt>
                <c:pt idx="11">
                  <c:v>51.799559669625253</c:v>
                </c:pt>
                <c:pt idx="12">
                  <c:v>67.811771988076032</c:v>
                </c:pt>
                <c:pt idx="13">
                  <c:v>19.59686943293886</c:v>
                </c:pt>
                <c:pt idx="14">
                  <c:v>20.698154693831814</c:v>
                </c:pt>
                <c:pt idx="15">
                  <c:v>78.194752811099164</c:v>
                </c:pt>
                <c:pt idx="16">
                  <c:v>82.540471988076035</c:v>
                </c:pt>
                <c:pt idx="17">
                  <c:v>182.0205995835575</c:v>
                </c:pt>
                <c:pt idx="18">
                  <c:v>64.51583912094317</c:v>
                </c:pt>
                <c:pt idx="19">
                  <c:v>119.57614070781783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7F2-9CAC-4285477ED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'Jun 25'!$I$123:$I$142</c:f>
              <c:numCache>
                <c:formatCode>_(* #,##0.00_);_(* \(#,##0.00\);_(* "-"??_);_(@_)</c:formatCode>
                <c:ptCount val="20"/>
                <c:pt idx="0">
                  <c:v>104.91874694773176</c:v>
                </c:pt>
                <c:pt idx="1">
                  <c:v>43.080391111260539</c:v>
                </c:pt>
                <c:pt idx="2">
                  <c:v>155.38771897570382</c:v>
                </c:pt>
                <c:pt idx="3">
                  <c:v>52.425469997758654</c:v>
                </c:pt>
                <c:pt idx="4">
                  <c:v>80.175481697597291</c:v>
                </c:pt>
                <c:pt idx="5">
                  <c:v>84.13297801282053</c:v>
                </c:pt>
                <c:pt idx="6">
                  <c:v>17.727061364084637</c:v>
                </c:pt>
                <c:pt idx="7">
                  <c:v>64.98329113815673</c:v>
                </c:pt>
                <c:pt idx="8">
                  <c:v>124.29819837322934</c:v>
                </c:pt>
                <c:pt idx="9">
                  <c:v>39.305121853595125</c:v>
                </c:pt>
                <c:pt idx="10">
                  <c:v>68.825905177963079</c:v>
                </c:pt>
                <c:pt idx="11">
                  <c:v>94.52784320916264</c:v>
                </c:pt>
                <c:pt idx="12">
                  <c:v>43.341847324278291</c:v>
                </c:pt>
                <c:pt idx="13">
                  <c:v>30.906831374843108</c:v>
                </c:pt>
                <c:pt idx="14">
                  <c:v>107.50954033127131</c:v>
                </c:pt>
                <c:pt idx="15">
                  <c:v>77.327193558812994</c:v>
                </c:pt>
                <c:pt idx="16">
                  <c:v>96.972062655101325</c:v>
                </c:pt>
                <c:pt idx="17">
                  <c:v>45.492918895015251</c:v>
                </c:pt>
                <c:pt idx="18">
                  <c:v>52.829538690604281</c:v>
                </c:pt>
                <c:pt idx="19">
                  <c:v>39.138740627129287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F-4CFD-BA69-5AA72757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'Jun 25'!$I$143:$I$162</c:f>
              <c:numCache>
                <c:formatCode>_(* #,##0.00_);_(* \(#,##0.00\);_(* "-"??_);_(@_)</c:formatCode>
                <c:ptCount val="20"/>
                <c:pt idx="0">
                  <c:v>94.032660987538108</c:v>
                </c:pt>
                <c:pt idx="1">
                  <c:v>31.639701062847415</c:v>
                </c:pt>
                <c:pt idx="2">
                  <c:v>39.154586458221274</c:v>
                </c:pt>
                <c:pt idx="3">
                  <c:v>106.1349144840416</c:v>
                </c:pt>
                <c:pt idx="4">
                  <c:v>189.76921098753814</c:v>
                </c:pt>
                <c:pt idx="5">
                  <c:v>50.31005154697867</c:v>
                </c:pt>
                <c:pt idx="6">
                  <c:v>64.476224543213206</c:v>
                </c:pt>
                <c:pt idx="7">
                  <c:v>58.213159804106155</c:v>
                </c:pt>
                <c:pt idx="8">
                  <c:v>80.009100471131433</c:v>
                </c:pt>
                <c:pt idx="9">
                  <c:v>85.792828819705932</c:v>
                </c:pt>
                <c:pt idx="10">
                  <c:v>42.402981832078183</c:v>
                </c:pt>
                <c:pt idx="11">
                  <c:v>106.11510719517663</c:v>
                </c:pt>
                <c:pt idx="12">
                  <c:v>152.52754646360052</c:v>
                </c:pt>
                <c:pt idx="13">
                  <c:v>83.724947862201901</c:v>
                </c:pt>
                <c:pt idx="14">
                  <c:v>20.012822499103464</c:v>
                </c:pt>
                <c:pt idx="15">
                  <c:v>79.224731832078191</c:v>
                </c:pt>
                <c:pt idx="16">
                  <c:v>140.29456486058814</c:v>
                </c:pt>
                <c:pt idx="17">
                  <c:v>91.647863408194382</c:v>
                </c:pt>
                <c:pt idx="18">
                  <c:v>62.741106038640851</c:v>
                </c:pt>
                <c:pt idx="19">
                  <c:v>108.58309538775327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F-47C1-BE15-0D8AB10E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'Jun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'Jun 25'!$I$163:$I$182</c:f>
              <c:numCache>
                <c:formatCode>_(* #,##0.00_);_(* \(#,##0.00\);_(* "-"??_);_(@_)</c:formatCode>
                <c:ptCount val="20"/>
                <c:pt idx="0">
                  <c:v>75.889184387215352</c:v>
                </c:pt>
                <c:pt idx="1">
                  <c:v>126.83353134794694</c:v>
                </c:pt>
                <c:pt idx="2">
                  <c:v>41.76518713062579</c:v>
                </c:pt>
                <c:pt idx="3">
                  <c:v>144.52144030437512</c:v>
                </c:pt>
                <c:pt idx="4">
                  <c:v>96.009428416263233</c:v>
                </c:pt>
                <c:pt idx="5">
                  <c:v>100.7790235749507</c:v>
                </c:pt>
                <c:pt idx="6">
                  <c:v>107.87795590415996</c:v>
                </c:pt>
                <c:pt idx="7">
                  <c:v>68.374298991841499</c:v>
                </c:pt>
                <c:pt idx="8">
                  <c:v>67.07494084229873</c:v>
                </c:pt>
                <c:pt idx="9">
                  <c:v>59.029220105343384</c:v>
                </c:pt>
                <c:pt idx="10">
                  <c:v>79.82291195580062</c:v>
                </c:pt>
                <c:pt idx="11">
                  <c:v>119.1958407616102</c:v>
                </c:pt>
                <c:pt idx="12">
                  <c:v>17.727061364084637</c:v>
                </c:pt>
                <c:pt idx="13">
                  <c:v>49.672256845526277</c:v>
                </c:pt>
                <c:pt idx="14">
                  <c:v>82.564240734714005</c:v>
                </c:pt>
                <c:pt idx="15">
                  <c:v>73.698498238748442</c:v>
                </c:pt>
                <c:pt idx="16">
                  <c:v>142.4297906002331</c:v>
                </c:pt>
                <c:pt idx="17">
                  <c:v>90.609961471669365</c:v>
                </c:pt>
                <c:pt idx="18">
                  <c:v>77.200426910077113</c:v>
                </c:pt>
                <c:pt idx="19">
                  <c:v>145.58311098753811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F-4127-A4A9-6229727BD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'Jul 25'!$I$3:$I$22</c:f>
              <c:numCache>
                <c:formatCode>_(* #,##0.00_);_(* \(#,##0.00\);_(* "-"??_);_(@_)</c:formatCode>
                <c:ptCount val="20"/>
                <c:pt idx="0">
                  <c:v>54.964604247760001</c:v>
                </c:pt>
                <c:pt idx="1">
                  <c:v>52.573349400892901</c:v>
                </c:pt>
                <c:pt idx="2">
                  <c:v>56.085749962848503</c:v>
                </c:pt>
                <c:pt idx="3">
                  <c:v>58.010514110080869</c:v>
                </c:pt>
                <c:pt idx="4">
                  <c:v>89.347712873778548</c:v>
                </c:pt>
                <c:pt idx="5">
                  <c:v>76.948468479285708</c:v>
                </c:pt>
                <c:pt idx="6">
                  <c:v>108.52871281758298</c:v>
                </c:pt>
                <c:pt idx="7">
                  <c:v>63.690724393868457</c:v>
                </c:pt>
                <c:pt idx="8">
                  <c:v>35.579759628484915</c:v>
                </c:pt>
                <c:pt idx="9">
                  <c:v>96.925246675408218</c:v>
                </c:pt>
                <c:pt idx="10">
                  <c:v>86.525248136492777</c:v>
                </c:pt>
                <c:pt idx="11">
                  <c:v>73.922159066529318</c:v>
                </c:pt>
                <c:pt idx="12">
                  <c:v>33.219865500920996</c:v>
                </c:pt>
                <c:pt idx="13">
                  <c:v>61.311229816740052</c:v>
                </c:pt>
                <c:pt idx="14">
                  <c:v>52.01277654334865</c:v>
                </c:pt>
                <c:pt idx="15">
                  <c:v>67.877380420842329</c:v>
                </c:pt>
                <c:pt idx="16">
                  <c:v>93.350124674846256</c:v>
                </c:pt>
                <c:pt idx="17">
                  <c:v>172.21449354250572</c:v>
                </c:pt>
                <c:pt idx="18">
                  <c:v>102.01744347226126</c:v>
                </c:pt>
                <c:pt idx="19">
                  <c:v>26.86147966220225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A-4FA9-A409-9AD9658EC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'Jul 25'!$I$23:$I$42</c:f>
              <c:numCache>
                <c:formatCode>_(* #,##0.00_);_(* \(#,##0.00\);_(* "-"??_);_(@_)</c:formatCode>
                <c:ptCount val="20"/>
                <c:pt idx="0">
                  <c:v>53.286805765040128</c:v>
                </c:pt>
                <c:pt idx="1">
                  <c:v>99.410583680184843</c:v>
                </c:pt>
                <c:pt idx="2">
                  <c:v>76.003726810277556</c:v>
                </c:pt>
                <c:pt idx="3">
                  <c:v>71.444662241578484</c:v>
                </c:pt>
                <c:pt idx="4">
                  <c:v>118.89735063719523</c:v>
                </c:pt>
                <c:pt idx="5">
                  <c:v>53.686654936155612</c:v>
                </c:pt>
                <c:pt idx="6">
                  <c:v>56.207272750148313</c:v>
                </c:pt>
                <c:pt idx="7">
                  <c:v>69.037727035059802</c:v>
                </c:pt>
                <c:pt idx="8">
                  <c:v>50.875950468608551</c:v>
                </c:pt>
                <c:pt idx="9">
                  <c:v>61.785560696200577</c:v>
                </c:pt>
                <c:pt idx="10">
                  <c:v>60.852579296931118</c:v>
                </c:pt>
                <c:pt idx="11">
                  <c:v>116.55313686928289</c:v>
                </c:pt>
                <c:pt idx="12">
                  <c:v>58.398603011457666</c:v>
                </c:pt>
                <c:pt idx="13">
                  <c:v>55.329172609659409</c:v>
                </c:pt>
                <c:pt idx="14">
                  <c:v>15.112970193250298</c:v>
                </c:pt>
                <c:pt idx="15">
                  <c:v>123.3427325984203</c:v>
                </c:pt>
                <c:pt idx="16">
                  <c:v>158.92538873778531</c:v>
                </c:pt>
                <c:pt idx="17">
                  <c:v>91.421440437700994</c:v>
                </c:pt>
                <c:pt idx="18">
                  <c:v>98.069912929974095</c:v>
                </c:pt>
                <c:pt idx="19">
                  <c:v>37.433962157285144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5-4B90-AAD0-BF0B6ACE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'Jul 25'!$I$43:$I$62</c:f>
              <c:numCache>
                <c:formatCode>_(* #,##0.00_);_(* \(#,##0.00\);_(* "-"??_);_(@_)</c:formatCode>
                <c:ptCount val="20"/>
                <c:pt idx="0">
                  <c:v>36.70482543348632</c:v>
                </c:pt>
                <c:pt idx="1">
                  <c:v>96.576358673160385</c:v>
                </c:pt>
                <c:pt idx="2">
                  <c:v>14.007504837813377</c:v>
                </c:pt>
                <c:pt idx="3">
                  <c:v>81.393850440510775</c:v>
                </c:pt>
                <c:pt idx="4">
                  <c:v>92.573946872092677</c:v>
                </c:pt>
                <c:pt idx="5">
                  <c:v>128.63877407074401</c:v>
                </c:pt>
                <c:pt idx="6">
                  <c:v>69.265092250007825</c:v>
                </c:pt>
                <c:pt idx="7">
                  <c:v>55.215490002185398</c:v>
                </c:pt>
                <c:pt idx="8">
                  <c:v>49.966489608816474</c:v>
                </c:pt>
                <c:pt idx="9">
                  <c:v>73.777115739752134</c:v>
                </c:pt>
                <c:pt idx="10">
                  <c:v>73.028378566388824</c:v>
                </c:pt>
                <c:pt idx="11">
                  <c:v>56.266074098841763</c:v>
                </c:pt>
                <c:pt idx="12">
                  <c:v>38.30422211794825</c:v>
                </c:pt>
                <c:pt idx="13">
                  <c:v>25.540409361556001</c:v>
                </c:pt>
                <c:pt idx="14">
                  <c:v>62.851825152508525</c:v>
                </c:pt>
                <c:pt idx="15">
                  <c:v>58.433883820673735</c:v>
                </c:pt>
                <c:pt idx="16">
                  <c:v>186.0837716543349</c:v>
                </c:pt>
                <c:pt idx="17">
                  <c:v>63.439838639443053</c:v>
                </c:pt>
                <c:pt idx="18">
                  <c:v>134.23666246636074</c:v>
                </c:pt>
                <c:pt idx="19">
                  <c:v>85.909794020167965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6-4F52-8BE6-6EC12A8E3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'Jul 25'!$I$63:$I$82</c:f>
              <c:numCache>
                <c:formatCode>_(* #,##0.00_);_(* \(#,##0.00\);_(* "-"??_);_(@_)</c:formatCode>
                <c:ptCount val="20"/>
                <c:pt idx="0">
                  <c:v>81.256647293559382</c:v>
                </c:pt>
                <c:pt idx="1">
                  <c:v>63.655443584652389</c:v>
                </c:pt>
                <c:pt idx="2">
                  <c:v>64.878511637476208</c:v>
                </c:pt>
                <c:pt idx="3">
                  <c:v>101.09230225281759</c:v>
                </c:pt>
                <c:pt idx="4">
                  <c:v>47.363549906652942</c:v>
                </c:pt>
                <c:pt idx="5">
                  <c:v>146.7221488389373</c:v>
                </c:pt>
                <c:pt idx="6">
                  <c:v>24.779911918454008</c:v>
                </c:pt>
                <c:pt idx="7">
                  <c:v>69.214131081140152</c:v>
                </c:pt>
                <c:pt idx="8">
                  <c:v>64.184655722893467</c:v>
                </c:pt>
                <c:pt idx="9">
                  <c:v>77.850089159251993</c:v>
                </c:pt>
                <c:pt idx="10">
                  <c:v>53.765056734413548</c:v>
                </c:pt>
                <c:pt idx="11">
                  <c:v>65.831093486310152</c:v>
                </c:pt>
                <c:pt idx="12">
                  <c:v>82.554197054728249</c:v>
                </c:pt>
                <c:pt idx="13">
                  <c:v>106.52162678217978</c:v>
                </c:pt>
                <c:pt idx="14">
                  <c:v>101.53527241297495</c:v>
                </c:pt>
                <c:pt idx="15">
                  <c:v>78.763470108956966</c:v>
                </c:pt>
                <c:pt idx="16">
                  <c:v>140.51664650682153</c:v>
                </c:pt>
                <c:pt idx="17">
                  <c:v>81.499692868158974</c:v>
                </c:pt>
                <c:pt idx="18">
                  <c:v>73.224383062033667</c:v>
                </c:pt>
                <c:pt idx="19">
                  <c:v>129.84616176391623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B-4EAF-8017-C735A8D3F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'Ene 25'!$I$83:$I$102</c:f>
              <c:numCache>
                <c:formatCode>_(* #,##0.00_);_(* \(#,##0.00\);_(* "-"??_);_(@_)</c:formatCode>
                <c:ptCount val="20"/>
                <c:pt idx="0">
                  <c:v>53.283358888155256</c:v>
                </c:pt>
                <c:pt idx="1">
                  <c:v>30.425390499940445</c:v>
                </c:pt>
                <c:pt idx="2">
                  <c:v>6.1494752597882325</c:v>
                </c:pt>
                <c:pt idx="3">
                  <c:v>19.931374459269382</c:v>
                </c:pt>
                <c:pt idx="4">
                  <c:v>37.921764102027431</c:v>
                </c:pt>
                <c:pt idx="5">
                  <c:v>0</c:v>
                </c:pt>
                <c:pt idx="6">
                  <c:v>51.407375899611203</c:v>
                </c:pt>
                <c:pt idx="7">
                  <c:v>0.16628374596280862</c:v>
                </c:pt>
                <c:pt idx="8">
                  <c:v>40.437183677319368</c:v>
                </c:pt>
                <c:pt idx="9">
                  <c:v>58.182682712386743</c:v>
                </c:pt>
                <c:pt idx="10">
                  <c:v>65.815106652079663</c:v>
                </c:pt>
                <c:pt idx="11">
                  <c:v>17.110597459573007</c:v>
                </c:pt>
                <c:pt idx="12">
                  <c:v>30.762493003119598</c:v>
                </c:pt>
                <c:pt idx="13">
                  <c:v>24.026489621208004</c:v>
                </c:pt>
                <c:pt idx="14">
                  <c:v>14.516571022553192</c:v>
                </c:pt>
                <c:pt idx="15">
                  <c:v>15.346478081949394</c:v>
                </c:pt>
                <c:pt idx="16">
                  <c:v>22.587379383420785</c:v>
                </c:pt>
                <c:pt idx="17">
                  <c:v>31.019476974153026</c:v>
                </c:pt>
                <c:pt idx="18">
                  <c:v>30.395157091583574</c:v>
                </c:pt>
                <c:pt idx="19">
                  <c:v>35.846240618328011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1-4A7B-AAF0-753052027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'Jul 25'!$I$83:$I$102</c:f>
              <c:numCache>
                <c:formatCode>_(* #,##0.00_);_(* \(#,##0.00\);_(* "-"??_);_(@_)</c:formatCode>
                <c:ptCount val="20"/>
                <c:pt idx="0">
                  <c:v>129.15622593924638</c:v>
                </c:pt>
                <c:pt idx="1">
                  <c:v>89.014505231182298</c:v>
                </c:pt>
                <c:pt idx="2">
                  <c:v>28.139428973806634</c:v>
                </c:pt>
                <c:pt idx="3">
                  <c:v>78.790910738347236</c:v>
                </c:pt>
                <c:pt idx="4">
                  <c:v>147.96089725141272</c:v>
                </c:pt>
                <c:pt idx="5">
                  <c:v>16.790768675970163</c:v>
                </c:pt>
                <c:pt idx="6">
                  <c:v>145.5618022247198</c:v>
                </c:pt>
                <c:pt idx="7">
                  <c:v>14.360312929974096</c:v>
                </c:pt>
                <c:pt idx="8">
                  <c:v>111.66086465798759</c:v>
                </c:pt>
                <c:pt idx="9">
                  <c:v>151.72810365770661</c:v>
                </c:pt>
                <c:pt idx="10">
                  <c:v>191.91294535481256</c:v>
                </c:pt>
                <c:pt idx="11">
                  <c:v>59.766714391058677</c:v>
                </c:pt>
                <c:pt idx="12">
                  <c:v>98.301198234835013</c:v>
                </c:pt>
                <c:pt idx="13">
                  <c:v>69.10828865349194</c:v>
                </c:pt>
                <c:pt idx="14">
                  <c:v>52.71447263775719</c:v>
                </c:pt>
                <c:pt idx="15">
                  <c:v>84.400559403702673</c:v>
                </c:pt>
                <c:pt idx="16">
                  <c:v>62.671501016515265</c:v>
                </c:pt>
                <c:pt idx="17">
                  <c:v>48.790462634947403</c:v>
                </c:pt>
                <c:pt idx="18">
                  <c:v>93.996939510474249</c:v>
                </c:pt>
                <c:pt idx="19">
                  <c:v>88.940023522837265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6-4A93-979D-4B6E114CD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'Jul 25'!$I$103:$I$122</c:f>
              <c:numCache>
                <c:formatCode>_(* #,##0.00_);_(* \(#,##0.00\);_(* "-"??_);_(@_)</c:formatCode>
                <c:ptCount val="20"/>
                <c:pt idx="0">
                  <c:v>135.76549753239053</c:v>
                </c:pt>
                <c:pt idx="1">
                  <c:v>124.5932412806344</c:v>
                </c:pt>
                <c:pt idx="2">
                  <c:v>70.080470951890376</c:v>
                </c:pt>
                <c:pt idx="3">
                  <c:v>16.002830603477889</c:v>
                </c:pt>
                <c:pt idx="4">
                  <c:v>17.492464770378703</c:v>
                </c:pt>
                <c:pt idx="5">
                  <c:v>87.466069715588034</c:v>
                </c:pt>
                <c:pt idx="6">
                  <c:v>55.137088203927462</c:v>
                </c:pt>
                <c:pt idx="7">
                  <c:v>74.063282303393606</c:v>
                </c:pt>
                <c:pt idx="8">
                  <c:v>45.885676009490815</c:v>
                </c:pt>
                <c:pt idx="9">
                  <c:v>46.312965809996577</c:v>
                </c:pt>
                <c:pt idx="10">
                  <c:v>139.47782267990385</c:v>
                </c:pt>
                <c:pt idx="11">
                  <c:v>57.410740353407654</c:v>
                </c:pt>
                <c:pt idx="12">
                  <c:v>69.559098993475089</c:v>
                </c:pt>
                <c:pt idx="13">
                  <c:v>17.006373621179492</c:v>
                </c:pt>
                <c:pt idx="14">
                  <c:v>16.25371635790329</c:v>
                </c:pt>
                <c:pt idx="15">
                  <c:v>97.183972609659406</c:v>
                </c:pt>
                <c:pt idx="16">
                  <c:v>167.79655221067094</c:v>
                </c:pt>
                <c:pt idx="17">
                  <c:v>167.31830124129752</c:v>
                </c:pt>
                <c:pt idx="18">
                  <c:v>56.736484888389391</c:v>
                </c:pt>
                <c:pt idx="19">
                  <c:v>121.52381087883614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5-4A44-B279-034E3326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'Jul 25'!$I$123:$I$142</c:f>
              <c:numCache>
                <c:formatCode>_(* #,##0.00_);_(* \(#,##0.00\);_(* "-"??_);_(@_)</c:formatCode>
                <c:ptCount val="20"/>
                <c:pt idx="0">
                  <c:v>91.57432394430397</c:v>
                </c:pt>
                <c:pt idx="1">
                  <c:v>24.003734115700425</c:v>
                </c:pt>
                <c:pt idx="2">
                  <c:v>147.9804977009772</c:v>
                </c:pt>
                <c:pt idx="3">
                  <c:v>57.69690691704912</c:v>
                </c:pt>
                <c:pt idx="4">
                  <c:v>58.586767327276718</c:v>
                </c:pt>
                <c:pt idx="5">
                  <c:v>88.802820375885872</c:v>
                </c:pt>
                <c:pt idx="6">
                  <c:v>14.007504837813377</c:v>
                </c:pt>
                <c:pt idx="7">
                  <c:v>49.660722595610522</c:v>
                </c:pt>
                <c:pt idx="8">
                  <c:v>112.09207454840625</c:v>
                </c:pt>
                <c:pt idx="9">
                  <c:v>29.029289384034229</c:v>
                </c:pt>
                <c:pt idx="10">
                  <c:v>49.166791266585506</c:v>
                </c:pt>
                <c:pt idx="11">
                  <c:v>84.279036616402877</c:v>
                </c:pt>
                <c:pt idx="12">
                  <c:v>39.143121359308182</c:v>
                </c:pt>
                <c:pt idx="13">
                  <c:v>14.007504837813377</c:v>
                </c:pt>
                <c:pt idx="14">
                  <c:v>99.684989974087628</c:v>
                </c:pt>
                <c:pt idx="15">
                  <c:v>74.62777525085076</c:v>
                </c:pt>
                <c:pt idx="16">
                  <c:v>127.38826538852989</c:v>
                </c:pt>
                <c:pt idx="17">
                  <c:v>43.329777386282053</c:v>
                </c:pt>
                <c:pt idx="18">
                  <c:v>45.799434031407081</c:v>
                </c:pt>
                <c:pt idx="19">
                  <c:v>36.920430378695649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A-47A5-BEAE-A4C3613B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'Jul 25'!$I$143:$I$162</c:f>
              <c:numCache>
                <c:formatCode>_(* #,##0.00_);_(* \(#,##0.00\);_(* "-"??_);_(@_)</c:formatCode>
                <c:ptCount val="20"/>
                <c:pt idx="0">
                  <c:v>81.872101409884195</c:v>
                </c:pt>
                <c:pt idx="1">
                  <c:v>28.311912929974099</c:v>
                </c:pt>
                <c:pt idx="2">
                  <c:v>49.26871360432083</c:v>
                </c:pt>
                <c:pt idx="3">
                  <c:v>67.70489646467486</c:v>
                </c:pt>
                <c:pt idx="4">
                  <c:v>163.69613816178079</c:v>
                </c:pt>
                <c:pt idx="5">
                  <c:v>31.745911693671765</c:v>
                </c:pt>
                <c:pt idx="6">
                  <c:v>65.203879100246652</c:v>
                </c:pt>
                <c:pt idx="7">
                  <c:v>14.607278594486599</c:v>
                </c:pt>
                <c:pt idx="8">
                  <c:v>61.185786939527347</c:v>
                </c:pt>
                <c:pt idx="9">
                  <c:v>76.721103264337685</c:v>
                </c:pt>
                <c:pt idx="10">
                  <c:v>39.005918212356789</c:v>
                </c:pt>
                <c:pt idx="11">
                  <c:v>87.356307198026926</c:v>
                </c:pt>
                <c:pt idx="12">
                  <c:v>120.39090489400895</c:v>
                </c:pt>
                <c:pt idx="13">
                  <c:v>82.464034986731619</c:v>
                </c:pt>
                <c:pt idx="14">
                  <c:v>136.47503380662485</c:v>
                </c:pt>
                <c:pt idx="15">
                  <c:v>86.995658926040406</c:v>
                </c:pt>
                <c:pt idx="16">
                  <c:v>136.13790607411573</c:v>
                </c:pt>
                <c:pt idx="17">
                  <c:v>80.613752547844285</c:v>
                </c:pt>
                <c:pt idx="18">
                  <c:v>77.489440887265474</c:v>
                </c:pt>
                <c:pt idx="19">
                  <c:v>93.232521977459356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7-4CAC-B610-05A5B248F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'Jul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'Jul 25'!$I$163:$I$182</c:f>
              <c:numCache>
                <c:formatCode>_(* #,##0.00_);_(* \(#,##0.00\);_(* "-"??_);_(@_)</c:formatCode>
                <c:ptCount val="20"/>
                <c:pt idx="0">
                  <c:v>87.763996548968208</c:v>
                </c:pt>
                <c:pt idx="1">
                  <c:v>102.8445824438825</c:v>
                </c:pt>
                <c:pt idx="2">
                  <c:v>47.112664152227545</c:v>
                </c:pt>
                <c:pt idx="3">
                  <c:v>165.15833169929132</c:v>
                </c:pt>
                <c:pt idx="4">
                  <c:v>82.260190311260985</c:v>
                </c:pt>
                <c:pt idx="5">
                  <c:v>101.80967870687772</c:v>
                </c:pt>
                <c:pt idx="6">
                  <c:v>63.526080617526787</c:v>
                </c:pt>
                <c:pt idx="7">
                  <c:v>107.21156260684963</c:v>
                </c:pt>
                <c:pt idx="8">
                  <c:v>65.819333216571465</c:v>
                </c:pt>
                <c:pt idx="9">
                  <c:v>55.148848473666156</c:v>
                </c:pt>
                <c:pt idx="10">
                  <c:v>71.103614419156457</c:v>
                </c:pt>
                <c:pt idx="11">
                  <c:v>62.075647349754945</c:v>
                </c:pt>
                <c:pt idx="12">
                  <c:v>14.007504837813377</c:v>
                </c:pt>
                <c:pt idx="13">
                  <c:v>46.477609586338247</c:v>
                </c:pt>
                <c:pt idx="14">
                  <c:v>77.532561876307355</c:v>
                </c:pt>
                <c:pt idx="15">
                  <c:v>70.962491182292169</c:v>
                </c:pt>
                <c:pt idx="16">
                  <c:v>130.11664796790612</c:v>
                </c:pt>
                <c:pt idx="17">
                  <c:v>86.905496858043776</c:v>
                </c:pt>
                <c:pt idx="18">
                  <c:v>73.255743781336847</c:v>
                </c:pt>
                <c:pt idx="19">
                  <c:v>100.10051950485469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4-48AA-A393-9CEFD0F7C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'Ago 25'!$I$3:$I$22</c:f>
              <c:numCache>
                <c:formatCode>_(* #,##0.00_);_(* \(#,##0.00\);_(* "-"??_);_(@_)</c:formatCode>
                <c:ptCount val="20"/>
                <c:pt idx="0">
                  <c:v>53.453342978602009</c:v>
                </c:pt>
                <c:pt idx="1">
                  <c:v>50.160966830242515</c:v>
                </c:pt>
                <c:pt idx="2">
                  <c:v>50.364296473609137</c:v>
                </c:pt>
                <c:pt idx="3">
                  <c:v>55.803364433666196</c:v>
                </c:pt>
                <c:pt idx="4">
                  <c:v>65.696133620542085</c:v>
                </c:pt>
                <c:pt idx="5">
                  <c:v>77.379767743223979</c:v>
                </c:pt>
                <c:pt idx="6">
                  <c:v>83.917597814550646</c:v>
                </c:pt>
                <c:pt idx="7">
                  <c:v>63.678477928673331</c:v>
                </c:pt>
                <c:pt idx="8">
                  <c:v>119.67624374893012</c:v>
                </c:pt>
                <c:pt idx="9">
                  <c:v>92.781988228245382</c:v>
                </c:pt>
                <c:pt idx="10">
                  <c:v>66.591566088445077</c:v>
                </c:pt>
                <c:pt idx="11">
                  <c:v>75.307369455064205</c:v>
                </c:pt>
                <c:pt idx="12">
                  <c:v>37.67574469044223</c:v>
                </c:pt>
                <c:pt idx="13">
                  <c:v>43.982873820256778</c:v>
                </c:pt>
                <c:pt idx="14">
                  <c:v>55.381064405135533</c:v>
                </c:pt>
                <c:pt idx="15">
                  <c:v>55.736891281027113</c:v>
                </c:pt>
                <c:pt idx="16">
                  <c:v>99.43712386305279</c:v>
                </c:pt>
                <c:pt idx="17">
                  <c:v>148.89314942653357</c:v>
                </c:pt>
                <c:pt idx="18">
                  <c:v>108.34061613124109</c:v>
                </c:pt>
                <c:pt idx="19">
                  <c:v>21.85122417689016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2-4C75-928B-145F503E2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'Ago 25'!$I$23:$I$42</c:f>
              <c:numCache>
                <c:formatCode>_(* #,##0.00_);_(* \(#,##0.00\);_(* "-"??_);_(@_)</c:formatCode>
                <c:ptCount val="20"/>
                <c:pt idx="0">
                  <c:v>52.800342008559213</c:v>
                </c:pt>
                <c:pt idx="1">
                  <c:v>103.64839359201143</c:v>
                </c:pt>
                <c:pt idx="2">
                  <c:v>70.153745032810278</c:v>
                </c:pt>
                <c:pt idx="3">
                  <c:v>86.764212821683316</c:v>
                </c:pt>
                <c:pt idx="4">
                  <c:v>126.60118217974323</c:v>
                </c:pt>
                <c:pt idx="5">
                  <c:v>62.384206544935822</c:v>
                </c:pt>
                <c:pt idx="6">
                  <c:v>66.49772163766049</c:v>
                </c:pt>
                <c:pt idx="7">
                  <c:v>69.285683863052782</c:v>
                </c:pt>
                <c:pt idx="8">
                  <c:v>54.688961580599155</c:v>
                </c:pt>
                <c:pt idx="9">
                  <c:v>63.056758442225401</c:v>
                </c:pt>
                <c:pt idx="10">
                  <c:v>60.464305489301005</c:v>
                </c:pt>
                <c:pt idx="11">
                  <c:v>116.19226851355208</c:v>
                </c:pt>
                <c:pt idx="12">
                  <c:v>48.452215788873048</c:v>
                </c:pt>
                <c:pt idx="13">
                  <c:v>60.632443463623403</c:v>
                </c:pt>
                <c:pt idx="14">
                  <c:v>13.154971737517833</c:v>
                </c:pt>
                <c:pt idx="15">
                  <c:v>108.65343096718973</c:v>
                </c:pt>
                <c:pt idx="16">
                  <c:v>160.06845944079888</c:v>
                </c:pt>
                <c:pt idx="17">
                  <c:v>93.020509540656221</c:v>
                </c:pt>
                <c:pt idx="18">
                  <c:v>98.076379326676189</c:v>
                </c:pt>
                <c:pt idx="19">
                  <c:v>34.117475931526393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6-41C4-96FF-63E7EB37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'Ago 25'!$I$43:$I$62</c:f>
              <c:numCache>
                <c:formatCode>_(* #,##0.00_);_(* \(#,##0.00\);_(* "-"??_);_(@_)</c:formatCode>
                <c:ptCount val="20"/>
                <c:pt idx="0">
                  <c:v>34.383368542082742</c:v>
                </c:pt>
                <c:pt idx="1">
                  <c:v>85.825768313837386</c:v>
                </c:pt>
                <c:pt idx="2">
                  <c:v>13.151061552068475</c:v>
                </c:pt>
                <c:pt idx="3">
                  <c:v>62.227799126961493</c:v>
                </c:pt>
                <c:pt idx="4">
                  <c:v>85.376096987161205</c:v>
                </c:pt>
                <c:pt idx="5">
                  <c:v>131.50064454778888</c:v>
                </c:pt>
                <c:pt idx="6">
                  <c:v>57.512115475035671</c:v>
                </c:pt>
                <c:pt idx="7">
                  <c:v>58.012619212553503</c:v>
                </c:pt>
                <c:pt idx="8">
                  <c:v>51.568633592011423</c:v>
                </c:pt>
                <c:pt idx="9">
                  <c:v>80.249843863052789</c:v>
                </c:pt>
                <c:pt idx="10">
                  <c:v>45.715085974322399</c:v>
                </c:pt>
                <c:pt idx="11">
                  <c:v>49.586169569186879</c:v>
                </c:pt>
                <c:pt idx="12">
                  <c:v>38.532075303851649</c:v>
                </c:pt>
                <c:pt idx="13">
                  <c:v>25.186612365192584</c:v>
                </c:pt>
                <c:pt idx="14">
                  <c:v>105.70515113837376</c:v>
                </c:pt>
                <c:pt idx="15">
                  <c:v>57.285324718972909</c:v>
                </c:pt>
                <c:pt idx="16">
                  <c:v>220.73498668758918</c:v>
                </c:pt>
                <c:pt idx="17">
                  <c:v>57.281414533523545</c:v>
                </c:pt>
                <c:pt idx="18">
                  <c:v>126.09285807132669</c:v>
                </c:pt>
                <c:pt idx="19">
                  <c:v>82.138463435092731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2-4C94-966D-D7745384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'Ago 25'!$I$63:$I$82</c:f>
              <c:numCache>
                <c:formatCode>_(* #,##0.00_);_(* \(#,##0.00\);_(* "-"??_);_(@_)</c:formatCode>
                <c:ptCount val="20"/>
                <c:pt idx="0">
                  <c:v>92.234562265335242</c:v>
                </c:pt>
                <c:pt idx="1">
                  <c:v>23.380106687589162</c:v>
                </c:pt>
                <c:pt idx="2">
                  <c:v>56.878665432239664</c:v>
                </c:pt>
                <c:pt idx="3">
                  <c:v>99.276806259629112</c:v>
                </c:pt>
                <c:pt idx="4">
                  <c:v>31.177016473609136</c:v>
                </c:pt>
                <c:pt idx="5">
                  <c:v>167.50172198002858</c:v>
                </c:pt>
                <c:pt idx="6">
                  <c:v>23.297992793152645</c:v>
                </c:pt>
                <c:pt idx="7">
                  <c:v>64.135969626248226</c:v>
                </c:pt>
                <c:pt idx="8">
                  <c:v>58.161206259629111</c:v>
                </c:pt>
                <c:pt idx="9">
                  <c:v>81.063162436519264</c:v>
                </c:pt>
                <c:pt idx="10">
                  <c:v>60.346999925820263</c:v>
                </c:pt>
                <c:pt idx="11">
                  <c:v>41.687594961483597</c:v>
                </c:pt>
                <c:pt idx="12">
                  <c:v>65.535816017118407</c:v>
                </c:pt>
                <c:pt idx="13">
                  <c:v>90.627476045649075</c:v>
                </c:pt>
                <c:pt idx="14">
                  <c:v>110.99954223680457</c:v>
                </c:pt>
                <c:pt idx="15">
                  <c:v>54.993956045649085</c:v>
                </c:pt>
                <c:pt idx="16">
                  <c:v>120.11809470470757</c:v>
                </c:pt>
                <c:pt idx="17">
                  <c:v>56.573670967189742</c:v>
                </c:pt>
                <c:pt idx="18">
                  <c:v>90.869907543509285</c:v>
                </c:pt>
                <c:pt idx="19">
                  <c:v>101.91227125249644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EC0-8C03-1B8E6E7B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'Ago 25'!$I$83:$I$102</c:f>
              <c:numCache>
                <c:formatCode>_(* #,##0.00_);_(* \(#,##0.00\);_(* "-"??_);_(@_)</c:formatCode>
                <c:ptCount val="20"/>
                <c:pt idx="0">
                  <c:v>152.88935895577748</c:v>
                </c:pt>
                <c:pt idx="1">
                  <c:v>91.108428855920124</c:v>
                </c:pt>
                <c:pt idx="2">
                  <c:v>103.13615929814551</c:v>
                </c:pt>
                <c:pt idx="3">
                  <c:v>81.047521694721837</c:v>
                </c:pt>
                <c:pt idx="4">
                  <c:v>115.31247678744651</c:v>
                </c:pt>
                <c:pt idx="5">
                  <c:v>45.253684091298155</c:v>
                </c:pt>
                <c:pt idx="6">
                  <c:v>143.02787125249648</c:v>
                </c:pt>
                <c:pt idx="7">
                  <c:v>13.424774533523539</c:v>
                </c:pt>
                <c:pt idx="8">
                  <c:v>115.09350640228247</c:v>
                </c:pt>
                <c:pt idx="9">
                  <c:v>145.45609641654781</c:v>
                </c:pt>
                <c:pt idx="10">
                  <c:v>180.11989042510703</c:v>
                </c:pt>
                <c:pt idx="11">
                  <c:v>47.157944405135531</c:v>
                </c:pt>
                <c:pt idx="12">
                  <c:v>94.627595760342373</c:v>
                </c:pt>
                <c:pt idx="13">
                  <c:v>65.418510453637666</c:v>
                </c:pt>
                <c:pt idx="14">
                  <c:v>45.953607286733245</c:v>
                </c:pt>
                <c:pt idx="15">
                  <c:v>85.692822008559205</c:v>
                </c:pt>
                <c:pt idx="16">
                  <c:v>94.31478092439373</c:v>
                </c:pt>
                <c:pt idx="17">
                  <c:v>45.543037814550651</c:v>
                </c:pt>
                <c:pt idx="18">
                  <c:v>80.715155931526397</c:v>
                </c:pt>
                <c:pt idx="19">
                  <c:v>79.835364205420845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3-4D3A-B482-FAB29A0E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'Ene 25'!$I$103:$I$122</c:f>
              <c:numCache>
                <c:formatCode>_(* #,##0.00_);_(* \(#,##0.00\);_(* "-"??_);_(@_)</c:formatCode>
                <c:ptCount val="20"/>
                <c:pt idx="0">
                  <c:v>39.679836797979668</c:v>
                </c:pt>
                <c:pt idx="1">
                  <c:v>35.388204481721367</c:v>
                </c:pt>
                <c:pt idx="2">
                  <c:v>20.088588182725125</c:v>
                </c:pt>
                <c:pt idx="3">
                  <c:v>0.69083338095457769</c:v>
                </c:pt>
                <c:pt idx="4">
                  <c:v>3.0233408356874296</c:v>
                </c:pt>
                <c:pt idx="5">
                  <c:v>33.500128129834565</c:v>
                </c:pt>
                <c:pt idx="6">
                  <c:v>5.98167984340758</c:v>
                </c:pt>
                <c:pt idx="7">
                  <c:v>20.268476962448528</c:v>
                </c:pt>
                <c:pt idx="8">
                  <c:v>23.052973872116652</c:v>
                </c:pt>
                <c:pt idx="9">
                  <c:v>17.538400187822781</c:v>
                </c:pt>
                <c:pt idx="10">
                  <c:v>38.7471361501701</c:v>
                </c:pt>
                <c:pt idx="11">
                  <c:v>17.523283483644342</c:v>
                </c:pt>
                <c:pt idx="12">
                  <c:v>21.46571993338075</c:v>
                </c:pt>
                <c:pt idx="13">
                  <c:v>3.3589316684487343</c:v>
                </c:pt>
                <c:pt idx="14">
                  <c:v>2.5592580174094093</c:v>
                </c:pt>
                <c:pt idx="15">
                  <c:v>8.1569735746846845</c:v>
                </c:pt>
                <c:pt idx="16">
                  <c:v>28.573594238081899</c:v>
                </c:pt>
                <c:pt idx="17">
                  <c:v>63.924006959357165</c:v>
                </c:pt>
                <c:pt idx="18">
                  <c:v>19.3372879850568</c:v>
                </c:pt>
                <c:pt idx="19">
                  <c:v>49.980359025166749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E-4858-9BE3-BE6BF899C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'Ago 25'!$I$103:$I$122</c:f>
              <c:numCache>
                <c:formatCode>_(* #,##0.00_);_(* \(#,##0.00\);_(* "-"??_);_(@_)</c:formatCode>
                <c:ptCount val="20"/>
                <c:pt idx="0">
                  <c:v>141.33867113837377</c:v>
                </c:pt>
                <c:pt idx="1">
                  <c:v>111.72683673038517</c:v>
                </c:pt>
                <c:pt idx="2">
                  <c:v>76.038574134094162</c:v>
                </c:pt>
                <c:pt idx="3">
                  <c:v>13.761050482168333</c:v>
                </c:pt>
                <c:pt idx="4">
                  <c:v>13.151061552068475</c:v>
                </c:pt>
                <c:pt idx="5">
                  <c:v>88.340017557774615</c:v>
                </c:pt>
                <c:pt idx="6">
                  <c:v>50.555895560627683</c:v>
                </c:pt>
                <c:pt idx="7">
                  <c:v>59.244327629101292</c:v>
                </c:pt>
                <c:pt idx="8">
                  <c:v>66.939572593437958</c:v>
                </c:pt>
                <c:pt idx="9">
                  <c:v>46.027900810271049</c:v>
                </c:pt>
                <c:pt idx="10">
                  <c:v>136.55651433380888</c:v>
                </c:pt>
                <c:pt idx="11">
                  <c:v>55.529651452211141</c:v>
                </c:pt>
                <c:pt idx="12">
                  <c:v>55.318501437945805</c:v>
                </c:pt>
                <c:pt idx="13">
                  <c:v>13.174522664764623</c:v>
                </c:pt>
                <c:pt idx="14">
                  <c:v>14.726866288159773</c:v>
                </c:pt>
                <c:pt idx="15">
                  <c:v>89.266731509272475</c:v>
                </c:pt>
                <c:pt idx="16">
                  <c:v>109.20476711554923</c:v>
                </c:pt>
                <c:pt idx="17">
                  <c:v>167.02858954065624</c:v>
                </c:pt>
                <c:pt idx="18">
                  <c:v>71.737370139800291</c:v>
                </c:pt>
                <c:pt idx="19">
                  <c:v>112.62617938373754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0-49AF-A14C-D6D7C9B9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'Ago 25'!$I$123:$I$142</c:f>
              <c:numCache>
                <c:formatCode>_(* #,##0.00_);_(* \(#,##0.00\);_(* "-"??_);_(@_)</c:formatCode>
                <c:ptCount val="20"/>
                <c:pt idx="0">
                  <c:v>45.089456302425113</c:v>
                </c:pt>
                <c:pt idx="1">
                  <c:v>22.49640477603424</c:v>
                </c:pt>
                <c:pt idx="2">
                  <c:v>124.21987924108417</c:v>
                </c:pt>
                <c:pt idx="3">
                  <c:v>86.236337786019973</c:v>
                </c:pt>
                <c:pt idx="4">
                  <c:v>48.538239868758929</c:v>
                </c:pt>
                <c:pt idx="5">
                  <c:v>73.418749883024262</c:v>
                </c:pt>
                <c:pt idx="6">
                  <c:v>13.151061552068475</c:v>
                </c:pt>
                <c:pt idx="7">
                  <c:v>45.054264633380889</c:v>
                </c:pt>
                <c:pt idx="8">
                  <c:v>72.777479469329535</c:v>
                </c:pt>
                <c:pt idx="9">
                  <c:v>63.913089055634821</c:v>
                </c:pt>
                <c:pt idx="10">
                  <c:v>91.968669654778893</c:v>
                </c:pt>
                <c:pt idx="11">
                  <c:v>86.474859098430812</c:v>
                </c:pt>
                <c:pt idx="12">
                  <c:v>42.512644091298149</c:v>
                </c:pt>
                <c:pt idx="13">
                  <c:v>23.297992793152645</c:v>
                </c:pt>
                <c:pt idx="14">
                  <c:v>94.87393744365194</c:v>
                </c:pt>
                <c:pt idx="15">
                  <c:v>83.620423720399444</c:v>
                </c:pt>
                <c:pt idx="16">
                  <c:v>78.341673363766049</c:v>
                </c:pt>
                <c:pt idx="17">
                  <c:v>32.080269312410849</c:v>
                </c:pt>
                <c:pt idx="18">
                  <c:v>50.97037521825964</c:v>
                </c:pt>
                <c:pt idx="19">
                  <c:v>29.347049683309564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D-4A8A-8694-ABC251D61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'Ago 25'!$I$143:$I$162</c:f>
              <c:numCache>
                <c:formatCode>_(* #,##0.00_);_(* \(#,##0.00\);_(* "-"??_);_(@_)</c:formatCode>
                <c:ptCount val="20"/>
                <c:pt idx="0">
                  <c:v>77.630019611982888</c:v>
                </c:pt>
                <c:pt idx="1">
                  <c:v>30.332416416547794</c:v>
                </c:pt>
                <c:pt idx="2">
                  <c:v>39.677759640513557</c:v>
                </c:pt>
                <c:pt idx="3">
                  <c:v>76.398311195435099</c:v>
                </c:pt>
                <c:pt idx="4">
                  <c:v>160.43601687303854</c:v>
                </c:pt>
                <c:pt idx="5">
                  <c:v>82.130643064194018</c:v>
                </c:pt>
                <c:pt idx="6">
                  <c:v>62.638368599144087</c:v>
                </c:pt>
                <c:pt idx="7">
                  <c:v>32.21712580313838</c:v>
                </c:pt>
                <c:pt idx="8">
                  <c:v>67.956220810271049</c:v>
                </c:pt>
                <c:pt idx="9">
                  <c:v>83.858945032810283</c:v>
                </c:pt>
                <c:pt idx="10">
                  <c:v>34.332536131241085</c:v>
                </c:pt>
                <c:pt idx="11">
                  <c:v>72.230053506419409</c:v>
                </c:pt>
                <c:pt idx="12">
                  <c:v>128.9746647475036</c:v>
                </c:pt>
                <c:pt idx="13">
                  <c:v>85.270521980028533</c:v>
                </c:pt>
                <c:pt idx="14">
                  <c:v>109.70527085306706</c:v>
                </c:pt>
                <c:pt idx="15">
                  <c:v>80.230292935806006</c:v>
                </c:pt>
                <c:pt idx="16">
                  <c:v>136.3023522796006</c:v>
                </c:pt>
                <c:pt idx="17">
                  <c:v>74.834237015691883</c:v>
                </c:pt>
                <c:pt idx="18">
                  <c:v>78.267379840228244</c:v>
                </c:pt>
                <c:pt idx="19">
                  <c:v>14.558728313837376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E-4C82-BBD6-C318254AD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'Ago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'Ago 25'!$I$163:$I$182</c:f>
              <c:numCache>
                <c:formatCode>_(* #,##0.00_);_(* \(#,##0.00\);_(* "-"??_);_(@_)</c:formatCode>
                <c:ptCount val="20"/>
                <c:pt idx="0">
                  <c:v>76.546898242510707</c:v>
                </c:pt>
                <c:pt idx="1">
                  <c:v>102.8585361312411</c:v>
                </c:pt>
                <c:pt idx="2">
                  <c:v>44.229215503566337</c:v>
                </c:pt>
                <c:pt idx="3">
                  <c:v>149.24897630242512</c:v>
                </c:pt>
                <c:pt idx="4">
                  <c:v>77.454061266761769</c:v>
                </c:pt>
                <c:pt idx="5">
                  <c:v>89.157246316690447</c:v>
                </c:pt>
                <c:pt idx="6">
                  <c:v>97.028449626248218</c:v>
                </c:pt>
                <c:pt idx="7">
                  <c:v>107.94959758630529</c:v>
                </c:pt>
                <c:pt idx="8">
                  <c:v>61.406660182596305</c:v>
                </c:pt>
                <c:pt idx="9">
                  <c:v>57.942235874465055</c:v>
                </c:pt>
                <c:pt idx="10">
                  <c:v>68.347239355206852</c:v>
                </c:pt>
                <c:pt idx="11">
                  <c:v>211.67117681597722</c:v>
                </c:pt>
                <c:pt idx="12">
                  <c:v>13.151061552068475</c:v>
                </c:pt>
                <c:pt idx="13">
                  <c:v>51.494340068473619</c:v>
                </c:pt>
                <c:pt idx="14">
                  <c:v>78.353403920114133</c:v>
                </c:pt>
                <c:pt idx="15">
                  <c:v>69.297414419400866</c:v>
                </c:pt>
                <c:pt idx="16">
                  <c:v>111.31235707275322</c:v>
                </c:pt>
                <c:pt idx="17">
                  <c:v>82.463008827389444</c:v>
                </c:pt>
                <c:pt idx="18">
                  <c:v>55.736891281027113</c:v>
                </c:pt>
                <c:pt idx="19">
                  <c:v>112.10221453352355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C-4E03-B8F2-07EA2E926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'Sep 25'!$I$3:$I$22</c:f>
              <c:numCache>
                <c:formatCode>_(* #,##0.00_);_(* \(#,##0.00\);_(* "-"??_);_(@_)</c:formatCode>
                <c:ptCount val="20"/>
                <c:pt idx="0">
                  <c:v>59.181665110410073</c:v>
                </c:pt>
                <c:pt idx="1">
                  <c:v>48.147472050473169</c:v>
                </c:pt>
                <c:pt idx="2">
                  <c:v>51.646876466876954</c:v>
                </c:pt>
                <c:pt idx="3">
                  <c:v>49.133985615141938</c:v>
                </c:pt>
                <c:pt idx="4">
                  <c:v>74.305617160883259</c:v>
                </c:pt>
                <c:pt idx="5">
                  <c:v>78.247787507886414</c:v>
                </c:pt>
                <c:pt idx="6">
                  <c:v>90.89380391167191</c:v>
                </c:pt>
                <c:pt idx="7">
                  <c:v>91.678354069400612</c:v>
                </c:pt>
                <c:pt idx="8">
                  <c:v>115.5799464984227</c:v>
                </c:pt>
                <c:pt idx="9">
                  <c:v>104.19620138801261</c:v>
                </c:pt>
                <c:pt idx="10">
                  <c:v>66.23873261829651</c:v>
                </c:pt>
                <c:pt idx="11">
                  <c:v>67.636940820189253</c:v>
                </c:pt>
                <c:pt idx="12">
                  <c:v>33.920703596214487</c:v>
                </c:pt>
                <c:pt idx="13">
                  <c:v>50.287507381703449</c:v>
                </c:pt>
                <c:pt idx="14">
                  <c:v>54.851103596214486</c:v>
                </c:pt>
                <c:pt idx="15">
                  <c:v>54.451060694006287</c:v>
                </c:pt>
                <c:pt idx="16">
                  <c:v>90.462689716088306</c:v>
                </c:pt>
                <c:pt idx="17">
                  <c:v>212.18836542586752</c:v>
                </c:pt>
                <c:pt idx="18">
                  <c:v>98.00136227129336</c:v>
                </c:pt>
                <c:pt idx="19">
                  <c:v>17.289793817034674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7-431E-AC48-85727A90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'Sep 25'!$I$23:$I$42</c:f>
              <c:numCache>
                <c:formatCode>_(* #,##0.00_);_(* \(#,##0.00\);_(* "-"??_);_(@_)</c:formatCode>
                <c:ptCount val="20"/>
                <c:pt idx="0">
                  <c:v>51.223530094637205</c:v>
                </c:pt>
                <c:pt idx="1">
                  <c:v>109.9521584858044</c:v>
                </c:pt>
                <c:pt idx="2">
                  <c:v>72.150046182965283</c:v>
                </c:pt>
                <c:pt idx="3">
                  <c:v>65.943555331230272</c:v>
                </c:pt>
                <c:pt idx="4">
                  <c:v>116.6363704731861</c:v>
                </c:pt>
                <c:pt idx="5">
                  <c:v>44.566505488958967</c:v>
                </c:pt>
                <c:pt idx="6">
                  <c:v>68.413723154574114</c:v>
                </c:pt>
                <c:pt idx="7">
                  <c:v>66.603820315457398</c:v>
                </c:pt>
                <c:pt idx="8">
                  <c:v>52.357632302839093</c:v>
                </c:pt>
                <c:pt idx="9">
                  <c:v>63.372405804416388</c:v>
                </c:pt>
                <c:pt idx="10">
                  <c:v>64.972577413249184</c:v>
                </c:pt>
                <c:pt idx="11">
                  <c:v>75.245523785488942</c:v>
                </c:pt>
                <c:pt idx="12">
                  <c:v>49.242735141955819</c:v>
                </c:pt>
                <c:pt idx="13">
                  <c:v>65.535744605678218</c:v>
                </c:pt>
                <c:pt idx="14">
                  <c:v>10.830848706624579</c:v>
                </c:pt>
                <c:pt idx="15">
                  <c:v>112.73303924290221</c:v>
                </c:pt>
                <c:pt idx="16">
                  <c:v>170.79751873817034</c:v>
                </c:pt>
                <c:pt idx="17">
                  <c:v>173.60947078864353</c:v>
                </c:pt>
                <c:pt idx="18">
                  <c:v>92.734778044164031</c:v>
                </c:pt>
                <c:pt idx="19">
                  <c:v>10.830848706624579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5-4F2C-B4A8-D1AD06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'Sep 25'!$I$43:$I$62</c:f>
              <c:numCache>
                <c:formatCode>_(* #,##0.00_);_(* \(#,##0.00\);_(* "-"??_);_(@_)</c:formatCode>
                <c:ptCount val="20"/>
                <c:pt idx="0">
                  <c:v>33.629410220820162</c:v>
                </c:pt>
                <c:pt idx="1">
                  <c:v>83.716335141955824</c:v>
                </c:pt>
                <c:pt idx="2">
                  <c:v>10.830848706624579</c:v>
                </c:pt>
                <c:pt idx="3">
                  <c:v>74.880436088328054</c:v>
                </c:pt>
                <c:pt idx="4">
                  <c:v>155.87941400630916</c:v>
                </c:pt>
                <c:pt idx="5">
                  <c:v>131.73313514195581</c:v>
                </c:pt>
                <c:pt idx="6">
                  <c:v>65.092978675078854</c:v>
                </c:pt>
                <c:pt idx="7">
                  <c:v>118.25596164037853</c:v>
                </c:pt>
                <c:pt idx="8">
                  <c:v>62.890800757097772</c:v>
                </c:pt>
                <c:pt idx="9">
                  <c:v>77.913771104100931</c:v>
                </c:pt>
                <c:pt idx="10">
                  <c:v>41.471027886435309</c:v>
                </c:pt>
                <c:pt idx="11">
                  <c:v>60.642015899053611</c:v>
                </c:pt>
                <c:pt idx="12">
                  <c:v>49.176708643533097</c:v>
                </c:pt>
                <c:pt idx="13">
                  <c:v>20.758126940063065</c:v>
                </c:pt>
                <c:pt idx="14">
                  <c:v>43.106154700315436</c:v>
                </c:pt>
                <c:pt idx="15">
                  <c:v>53.849054384858029</c:v>
                </c:pt>
                <c:pt idx="16">
                  <c:v>184.53879823343848</c:v>
                </c:pt>
                <c:pt idx="17">
                  <c:v>69.489566687697135</c:v>
                </c:pt>
                <c:pt idx="18">
                  <c:v>112.52719192429021</c:v>
                </c:pt>
                <c:pt idx="19">
                  <c:v>85.052400757097772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2-46B1-9F05-C21F76A18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'Sep 25'!$I$63:$I$82</c:f>
              <c:numCache>
                <c:formatCode>_(* #,##0.00_);_(* \(#,##0.00\);_(* "-"??_);_(@_)</c:formatCode>
                <c:ptCount val="20"/>
                <c:pt idx="0">
                  <c:v>77.036007066246043</c:v>
                </c:pt>
                <c:pt idx="1">
                  <c:v>12.893205804416377</c:v>
                </c:pt>
                <c:pt idx="2">
                  <c:v>71.645137665615124</c:v>
                </c:pt>
                <c:pt idx="3">
                  <c:v>100.34724492113564</c:v>
                </c:pt>
                <c:pt idx="4">
                  <c:v>44.896637981072537</c:v>
                </c:pt>
                <c:pt idx="5">
                  <c:v>170.0556916088328</c:v>
                </c:pt>
                <c:pt idx="6">
                  <c:v>18.513225993690824</c:v>
                </c:pt>
                <c:pt idx="7">
                  <c:v>65.298825993690826</c:v>
                </c:pt>
                <c:pt idx="8">
                  <c:v>57.026094132492091</c:v>
                </c:pt>
                <c:pt idx="9">
                  <c:v>76.694222839116705</c:v>
                </c:pt>
                <c:pt idx="10">
                  <c:v>61.477056908517334</c:v>
                </c:pt>
                <c:pt idx="11">
                  <c:v>61.834376782334367</c:v>
                </c:pt>
                <c:pt idx="12">
                  <c:v>77.7817181072555</c:v>
                </c:pt>
                <c:pt idx="13">
                  <c:v>108.13837173501577</c:v>
                </c:pt>
                <c:pt idx="14">
                  <c:v>104.57682473186118</c:v>
                </c:pt>
                <c:pt idx="15">
                  <c:v>73.532718738170331</c:v>
                </c:pt>
                <c:pt idx="16">
                  <c:v>163.95018246056782</c:v>
                </c:pt>
                <c:pt idx="17">
                  <c:v>75.785387507886412</c:v>
                </c:pt>
                <c:pt idx="18">
                  <c:v>70.359562902208182</c:v>
                </c:pt>
                <c:pt idx="19">
                  <c:v>114.97017236593058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B-46A2-A1E5-8B732334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'Sep 25'!$I$83:$I$102</c:f>
              <c:numCache>
                <c:formatCode>_(* #,##0.00_);_(* \(#,##0.00\);_(* "-"??_);_(@_)</c:formatCode>
                <c:ptCount val="20"/>
                <c:pt idx="0">
                  <c:v>171.32184681388014</c:v>
                </c:pt>
                <c:pt idx="1">
                  <c:v>90.33840454258673</c:v>
                </c:pt>
                <c:pt idx="2">
                  <c:v>27.710328832807548</c:v>
                </c:pt>
                <c:pt idx="3">
                  <c:v>76.134939558359605</c:v>
                </c:pt>
                <c:pt idx="4">
                  <c:v>143.93638561514194</c:v>
                </c:pt>
                <c:pt idx="5">
                  <c:v>22.016514321766536</c:v>
                </c:pt>
                <c:pt idx="6">
                  <c:v>119.07158309148264</c:v>
                </c:pt>
                <c:pt idx="7">
                  <c:v>11.491113690851709</c:v>
                </c:pt>
                <c:pt idx="8">
                  <c:v>107.96747962145109</c:v>
                </c:pt>
                <c:pt idx="9">
                  <c:v>140.45640075709778</c:v>
                </c:pt>
                <c:pt idx="10">
                  <c:v>166.06303041009465</c:v>
                </c:pt>
                <c:pt idx="11">
                  <c:v>52.07799066246055</c:v>
                </c:pt>
                <c:pt idx="12">
                  <c:v>92.925089716088308</c:v>
                </c:pt>
                <c:pt idx="13">
                  <c:v>72.530669526813867</c:v>
                </c:pt>
                <c:pt idx="14">
                  <c:v>51.200226624605655</c:v>
                </c:pt>
                <c:pt idx="15">
                  <c:v>82.135583091482644</c:v>
                </c:pt>
                <c:pt idx="16">
                  <c:v>81.467550283911663</c:v>
                </c:pt>
                <c:pt idx="17">
                  <c:v>46.06569539432175</c:v>
                </c:pt>
                <c:pt idx="18">
                  <c:v>81.62290675078863</c:v>
                </c:pt>
                <c:pt idx="19">
                  <c:v>90.831661324921114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1-40BA-87C3-447CBF1DF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'Sep 25'!$I$103:$I$122</c:f>
              <c:numCache>
                <c:formatCode>_(* #,##0.00_);_(* \(#,##0.00\);_(* "-"??_);_(@_)</c:formatCode>
                <c:ptCount val="20"/>
                <c:pt idx="0">
                  <c:v>121.56893829652996</c:v>
                </c:pt>
                <c:pt idx="1">
                  <c:v>104.35544176656151</c:v>
                </c:pt>
                <c:pt idx="2">
                  <c:v>81.479202018927438</c:v>
                </c:pt>
                <c:pt idx="3">
                  <c:v>11.001740820189248</c:v>
                </c:pt>
                <c:pt idx="4">
                  <c:v>10.830848706624579</c:v>
                </c:pt>
                <c:pt idx="5">
                  <c:v>84.842669526813864</c:v>
                </c:pt>
                <c:pt idx="6">
                  <c:v>51.200226624605655</c:v>
                </c:pt>
                <c:pt idx="7">
                  <c:v>62.238303596214493</c:v>
                </c:pt>
                <c:pt idx="8">
                  <c:v>60.952728832807558</c:v>
                </c:pt>
                <c:pt idx="9">
                  <c:v>42.014775520504713</c:v>
                </c:pt>
                <c:pt idx="10">
                  <c:v>156.55909854889589</c:v>
                </c:pt>
                <c:pt idx="11">
                  <c:v>80.624741451104086</c:v>
                </c:pt>
                <c:pt idx="12">
                  <c:v>68.685596971608817</c:v>
                </c:pt>
                <c:pt idx="13">
                  <c:v>12.019325678233411</c:v>
                </c:pt>
                <c:pt idx="14">
                  <c:v>17.340284668769691</c:v>
                </c:pt>
                <c:pt idx="15">
                  <c:v>65.275522523659291</c:v>
                </c:pt>
                <c:pt idx="16">
                  <c:v>122.20201589905362</c:v>
                </c:pt>
                <c:pt idx="17">
                  <c:v>153.72772694006309</c:v>
                </c:pt>
                <c:pt idx="18">
                  <c:v>78.100198864353302</c:v>
                </c:pt>
                <c:pt idx="19">
                  <c:v>126.90543293375393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069-A6D3-AB23499D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'Ene 25'!$I$123:$I$142</c:f>
              <c:numCache>
                <c:formatCode>_(* #,##0.00_);_(* \(#,##0.00\);_(* "-"??_);_(@_)</c:formatCode>
                <c:ptCount val="20"/>
                <c:pt idx="0">
                  <c:v>21.792240743634995</c:v>
                </c:pt>
                <c:pt idx="1">
                  <c:v>5.03386249141957</c:v>
                </c:pt>
                <c:pt idx="2">
                  <c:v>20.318362086237371</c:v>
                </c:pt>
                <c:pt idx="3">
                  <c:v>0</c:v>
                </c:pt>
                <c:pt idx="4">
                  <c:v>19.01983719730962</c:v>
                </c:pt>
                <c:pt idx="5">
                  <c:v>18.938206994746061</c:v>
                </c:pt>
                <c:pt idx="6">
                  <c:v>26.159456580785484</c:v>
                </c:pt>
                <c:pt idx="7">
                  <c:v>12.120573410270906</c:v>
                </c:pt>
                <c:pt idx="8">
                  <c:v>37.055576952602983</c:v>
                </c:pt>
                <c:pt idx="9">
                  <c:v>7.6097488834252598</c:v>
                </c:pt>
                <c:pt idx="10">
                  <c:v>16.412205726529212</c:v>
                </c:pt>
                <c:pt idx="11">
                  <c:v>24.613017743331365</c:v>
                </c:pt>
                <c:pt idx="12">
                  <c:v>6.599953044305658</c:v>
                </c:pt>
                <c:pt idx="13">
                  <c:v>8.7298966630474535</c:v>
                </c:pt>
                <c:pt idx="14">
                  <c:v>42.831669619183813</c:v>
                </c:pt>
                <c:pt idx="15">
                  <c:v>20.451389083007619</c:v>
                </c:pt>
                <c:pt idx="16">
                  <c:v>28.22893338281353</c:v>
                </c:pt>
                <c:pt idx="17">
                  <c:v>10.354942362229448</c:v>
                </c:pt>
                <c:pt idx="18">
                  <c:v>7.6656806888854776</c:v>
                </c:pt>
                <c:pt idx="19">
                  <c:v>8.5031461003708966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D-45B9-823C-0F9DFAF48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'Sep 25'!$I$123:$I$142</c:f>
              <c:numCache>
                <c:formatCode>_(* #,##0.00_);_(* \(#,##0.00\);_(* "-"??_);_(@_)</c:formatCode>
                <c:ptCount val="20"/>
                <c:pt idx="0">
                  <c:v>70.285768580441612</c:v>
                </c:pt>
                <c:pt idx="1">
                  <c:v>20.773662586750763</c:v>
                </c:pt>
                <c:pt idx="2">
                  <c:v>127.94632126182964</c:v>
                </c:pt>
                <c:pt idx="3">
                  <c:v>76.22038561514195</c:v>
                </c:pt>
                <c:pt idx="4">
                  <c:v>61.865448075709764</c:v>
                </c:pt>
                <c:pt idx="5">
                  <c:v>80.605321892744456</c:v>
                </c:pt>
                <c:pt idx="6">
                  <c:v>50.928352807570953</c:v>
                </c:pt>
                <c:pt idx="7">
                  <c:v>32.84486006309146</c:v>
                </c:pt>
                <c:pt idx="8">
                  <c:v>83.35513135646687</c:v>
                </c:pt>
                <c:pt idx="9">
                  <c:v>26.785957854889563</c:v>
                </c:pt>
                <c:pt idx="10">
                  <c:v>71.559691608832793</c:v>
                </c:pt>
                <c:pt idx="11">
                  <c:v>68.945819053627744</c:v>
                </c:pt>
                <c:pt idx="12">
                  <c:v>43.956731356466854</c:v>
                </c:pt>
                <c:pt idx="13">
                  <c:v>16.579037981072531</c:v>
                </c:pt>
                <c:pt idx="14">
                  <c:v>90.214119369085154</c:v>
                </c:pt>
                <c:pt idx="15">
                  <c:v>72.981203280757086</c:v>
                </c:pt>
                <c:pt idx="16">
                  <c:v>65.438646813880112</c:v>
                </c:pt>
                <c:pt idx="17">
                  <c:v>35.081993186119846</c:v>
                </c:pt>
                <c:pt idx="18">
                  <c:v>48.590237981072534</c:v>
                </c:pt>
                <c:pt idx="19">
                  <c:v>35.198510536277581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E-465B-A60B-844AB60A7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'Sep 25'!$I$143:$I$162</c:f>
              <c:numCache>
                <c:formatCode>_(* #,##0.00_);_(* \(#,##0.00\);_(* "-"??_);_(@_)</c:formatCode>
                <c:ptCount val="20"/>
                <c:pt idx="0">
                  <c:v>101.12402725552049</c:v>
                </c:pt>
                <c:pt idx="1">
                  <c:v>20.260986246056756</c:v>
                </c:pt>
                <c:pt idx="2">
                  <c:v>35.019850599369065</c:v>
                </c:pt>
                <c:pt idx="3">
                  <c:v>107.19069728706624</c:v>
                </c:pt>
                <c:pt idx="4">
                  <c:v>170.30814586750787</c:v>
                </c:pt>
                <c:pt idx="5">
                  <c:v>46.80363861198736</c:v>
                </c:pt>
                <c:pt idx="6">
                  <c:v>72.418036088328051</c:v>
                </c:pt>
                <c:pt idx="7">
                  <c:v>11.386248075709753</c:v>
                </c:pt>
                <c:pt idx="8">
                  <c:v>53.833518738170326</c:v>
                </c:pt>
                <c:pt idx="9">
                  <c:v>81.467550283911663</c:v>
                </c:pt>
                <c:pt idx="10">
                  <c:v>54.983156593059917</c:v>
                </c:pt>
                <c:pt idx="11">
                  <c:v>88.058548391167179</c:v>
                </c:pt>
                <c:pt idx="12">
                  <c:v>138.94944302839116</c:v>
                </c:pt>
                <c:pt idx="13">
                  <c:v>77.583638611987368</c:v>
                </c:pt>
                <c:pt idx="14">
                  <c:v>96.4244941324921</c:v>
                </c:pt>
                <c:pt idx="15">
                  <c:v>69.240996340693982</c:v>
                </c:pt>
                <c:pt idx="16">
                  <c:v>61.42656605678232</c:v>
                </c:pt>
                <c:pt idx="17">
                  <c:v>79.762513059936893</c:v>
                </c:pt>
                <c:pt idx="18">
                  <c:v>64.242402018927436</c:v>
                </c:pt>
                <c:pt idx="19">
                  <c:v>10.826964794952655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4-49AD-A3DF-776A74CE4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'Sep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I504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'Sep 25'!$I$163:$I$182</c:f>
              <c:numCache>
                <c:formatCode>_(* #,##0.00_);_(* \(#,##0.00\);_(* "-"??_);_(@_)</c:formatCode>
                <c:ptCount val="20"/>
                <c:pt idx="0">
                  <c:v>69.450727570977904</c:v>
                </c:pt>
                <c:pt idx="1">
                  <c:v>113.11366258675078</c:v>
                </c:pt>
                <c:pt idx="2">
                  <c:v>51.576966056782311</c:v>
                </c:pt>
                <c:pt idx="3">
                  <c:v>108.15390738170346</c:v>
                </c:pt>
                <c:pt idx="4">
                  <c:v>89.359658801261816</c:v>
                </c:pt>
                <c:pt idx="5">
                  <c:v>122.40786321766561</c:v>
                </c:pt>
                <c:pt idx="6">
                  <c:v>95.169990662460549</c:v>
                </c:pt>
                <c:pt idx="7">
                  <c:v>67.174755331230273</c:v>
                </c:pt>
                <c:pt idx="8">
                  <c:v>70.095456908517335</c:v>
                </c:pt>
                <c:pt idx="9">
                  <c:v>56.754220315457395</c:v>
                </c:pt>
                <c:pt idx="10">
                  <c:v>73.513299179810701</c:v>
                </c:pt>
                <c:pt idx="11">
                  <c:v>13.852531987381678</c:v>
                </c:pt>
                <c:pt idx="12">
                  <c:v>10.830848706624579</c:v>
                </c:pt>
                <c:pt idx="13">
                  <c:v>48.058142082018911</c:v>
                </c:pt>
                <c:pt idx="14">
                  <c:v>62.312097917981056</c:v>
                </c:pt>
                <c:pt idx="15">
                  <c:v>95.107848075709768</c:v>
                </c:pt>
                <c:pt idx="16">
                  <c:v>112.40290675078863</c:v>
                </c:pt>
                <c:pt idx="17">
                  <c:v>66.84462283911671</c:v>
                </c:pt>
                <c:pt idx="18">
                  <c:v>71.924779305993667</c:v>
                </c:pt>
                <c:pt idx="19">
                  <c:v>95.997263848580431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F-4E3B-99A3-FB737958A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'Oct 25'!$I$3:$I$22</c:f>
              <c:numCache>
                <c:formatCode>_(* #,##0.00_);_(* \(#,##0.00\);_(* "-"??_);_(@_)</c:formatCode>
                <c:ptCount val="20"/>
                <c:pt idx="0">
                  <c:v>55.372435630476936</c:v>
                </c:pt>
                <c:pt idx="1">
                  <c:v>44.387634727406493</c:v>
                </c:pt>
                <c:pt idx="2">
                  <c:v>47.871374823734008</c:v>
                </c:pt>
                <c:pt idx="3">
                  <c:v>45.369732379423347</c:v>
                </c:pt>
                <c:pt idx="4">
                  <c:v>70.428688610609385</c:v>
                </c:pt>
                <c:pt idx="5">
                  <c:v>74.353212692487773</c:v>
                </c:pt>
                <c:pt idx="6">
                  <c:v>86.942621964010954</c:v>
                </c:pt>
                <c:pt idx="7">
                  <c:v>87.723660254197583</c:v>
                </c:pt>
                <c:pt idx="8">
                  <c:v>111.51826242156665</c:v>
                </c:pt>
                <c:pt idx="9">
                  <c:v>100.18547416148236</c:v>
                </c:pt>
                <c:pt idx="10">
                  <c:v>62.397913715967604</c:v>
                </c:pt>
                <c:pt idx="11">
                  <c:v>63.789863144022988</c:v>
                </c:pt>
                <c:pt idx="12">
                  <c:v>30.224549296942914</c:v>
                </c:pt>
                <c:pt idx="13">
                  <c:v>46.518090657569047</c:v>
                </c:pt>
                <c:pt idx="14">
                  <c:v>51.061258929694269</c:v>
                </c:pt>
                <c:pt idx="15">
                  <c:v>50.663006732222868</c:v>
                </c:pt>
                <c:pt idx="16">
                  <c:v>86.513437557027203</c:v>
                </c:pt>
                <c:pt idx="17">
                  <c:v>207.69423484781592</c:v>
                </c:pt>
                <c:pt idx="18">
                  <c:v>94.018364889959173</c:v>
                </c:pt>
                <c:pt idx="19">
                  <c:v>13.668084155461878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5-4FF3-8DF0-4E7D1982E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'Oct 25'!$I$23:$I$42</c:f>
              <c:numCache>
                <c:formatCode>_(* #,##0.00_);_(* \(#,##0.00\);_(* "-"??_);_(@_)</c:formatCode>
                <c:ptCount val="20"/>
                <c:pt idx="0">
                  <c:v>47.44992346912835</c:v>
                </c:pt>
                <c:pt idx="1">
                  <c:v>105.91566597364371</c:v>
                </c:pt>
                <c:pt idx="2">
                  <c:v>68.282766575690673</c:v>
                </c:pt>
                <c:pt idx="3">
                  <c:v>62.104057725600349</c:v>
                </c:pt>
                <c:pt idx="4">
                  <c:v>112.56995754498628</c:v>
                </c:pt>
                <c:pt idx="5">
                  <c:v>40.822697581109082</c:v>
                </c:pt>
                <c:pt idx="6">
                  <c:v>64.563168381831545</c:v>
                </c:pt>
                <c:pt idx="7">
                  <c:v>62.761367177737618</c:v>
                </c:pt>
                <c:pt idx="8">
                  <c:v>48.578949116328829</c:v>
                </c:pt>
                <c:pt idx="9">
                  <c:v>59.544417388454058</c:v>
                </c:pt>
                <c:pt idx="10">
                  <c:v>61.137426178339666</c:v>
                </c:pt>
                <c:pt idx="11">
                  <c:v>71.364387948357731</c:v>
                </c:pt>
                <c:pt idx="12">
                  <c:v>45.477995112716549</c:v>
                </c:pt>
                <c:pt idx="13">
                  <c:v>61.69807247575087</c:v>
                </c:pt>
                <c:pt idx="14">
                  <c:v>7.2380511030837917</c:v>
                </c:pt>
                <c:pt idx="15">
                  <c:v>108.68409872499832</c:v>
                </c:pt>
                <c:pt idx="16">
                  <c:v>166.48866525118734</c:v>
                </c:pt>
                <c:pt idx="17">
                  <c:v>169.28803021205431</c:v>
                </c:pt>
                <c:pt idx="18">
                  <c:v>88.775355377617217</c:v>
                </c:pt>
                <c:pt idx="19">
                  <c:v>7.2380511030837917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7-467C-8C01-EEDE2495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'Oct 25'!$I$43:$I$62</c:f>
              <c:numCache>
                <c:formatCode>_(* #,##0.00_);_(* \(#,##0.00\);_(* "-"??_);_(@_)</c:formatCode>
                <c:ptCount val="20"/>
                <c:pt idx="0">
                  <c:v>29.934559832764709</c:v>
                </c:pt>
                <c:pt idx="1">
                  <c:v>79.797281566659962</c:v>
                </c:pt>
                <c:pt idx="2">
                  <c:v>7.2380511030837917</c:v>
                </c:pt>
                <c:pt idx="3">
                  <c:v>71.00093448658771</c:v>
                </c:pt>
                <c:pt idx="4">
                  <c:v>151.63733815907418</c:v>
                </c:pt>
                <c:pt idx="5">
                  <c:v>127.59914484179544</c:v>
                </c:pt>
                <c:pt idx="6">
                  <c:v>61.25728849019999</c:v>
                </c:pt>
                <c:pt idx="7">
                  <c:v>114.1822989658171</c:v>
                </c:pt>
                <c:pt idx="8">
                  <c:v>59.064968141012756</c:v>
                </c:pt>
                <c:pt idx="9">
                  <c:v>74.020691440230109</c:v>
                </c:pt>
                <c:pt idx="10">
                  <c:v>37.741076208442017</c:v>
                </c:pt>
                <c:pt idx="11">
                  <c:v>56.826249477557013</c:v>
                </c:pt>
                <c:pt idx="12">
                  <c:v>45.412264167502819</c:v>
                </c:pt>
                <c:pt idx="13">
                  <c:v>17.120892042277049</c:v>
                </c:pt>
                <c:pt idx="14">
                  <c:v>39.368883734029012</c:v>
                </c:pt>
                <c:pt idx="15">
                  <c:v>50.063695172921243</c:v>
                </c:pt>
                <c:pt idx="16">
                  <c:v>180.1684349080206</c:v>
                </c:pt>
                <c:pt idx="17">
                  <c:v>65.63419613619638</c:v>
                </c:pt>
                <c:pt idx="18">
                  <c:v>108.47917283697905</c:v>
                </c:pt>
                <c:pt idx="19">
                  <c:v>81.127366575690658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3-4CA4-ADB9-D5E3F52CD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'Oct 25'!$I$63:$I$82</c:f>
              <c:numCache>
                <c:formatCode>_(* #,##0.00_);_(* \(#,##0.00\);_(* "-"??_);_(@_)</c:formatCode>
                <c:ptCount val="20"/>
                <c:pt idx="0">
                  <c:v>73.146856521506436</c:v>
                </c:pt>
                <c:pt idx="1">
                  <c:v>9.2911765094654903</c:v>
                </c:pt>
                <c:pt idx="2">
                  <c:v>67.780118171115106</c:v>
                </c:pt>
                <c:pt idx="3">
                  <c:v>96.353746708141003</c:v>
                </c:pt>
                <c:pt idx="4">
                  <c:v>41.151352307177717</c:v>
                </c:pt>
                <c:pt idx="5">
                  <c:v>165.75015874908021</c:v>
                </c:pt>
                <c:pt idx="6">
                  <c:v>14.886039905010342</c:v>
                </c:pt>
                <c:pt idx="7">
                  <c:v>61.462214378219265</c:v>
                </c:pt>
                <c:pt idx="8">
                  <c:v>53.22651359555821</c:v>
                </c:pt>
                <c:pt idx="9">
                  <c:v>72.806602216870687</c:v>
                </c:pt>
                <c:pt idx="10">
                  <c:v>57.6575526082012</c:v>
                </c:pt>
                <c:pt idx="11">
                  <c:v>58.013273017593129</c:v>
                </c:pt>
                <c:pt idx="12">
                  <c:v>73.889229549802636</c:v>
                </c:pt>
                <c:pt idx="13">
                  <c:v>104.10999824336075</c:v>
                </c:pt>
                <c:pt idx="14">
                  <c:v>100.56439372800855</c:v>
                </c:pt>
                <c:pt idx="15">
                  <c:v>69.659249898989884</c:v>
                </c:pt>
                <c:pt idx="16">
                  <c:v>159.67197957990501</c:v>
                </c:pt>
                <c:pt idx="17">
                  <c:v>71.90183508863467</c:v>
                </c:pt>
                <c:pt idx="18">
                  <c:v>66.500298002541953</c:v>
                </c:pt>
                <c:pt idx="19">
                  <c:v>110.91121780988694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8-4C3B-94B8-DD555C91C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'Oct 25'!$I$83:$I$102</c:f>
              <c:numCache>
                <c:formatCode>_(* #,##0.00_);_(* \(#,##0.00\);_(* "-"??_);_(@_)</c:formatCode>
                <c:ptCount val="20"/>
                <c:pt idx="0">
                  <c:v>167.01064628670815</c:v>
                </c:pt>
                <c:pt idx="1">
                  <c:v>86.389708718977843</c:v>
                </c:pt>
                <c:pt idx="2">
                  <c:v>24.041973920663565</c:v>
                </c:pt>
                <c:pt idx="3">
                  <c:v>72.249822445648519</c:v>
                </c:pt>
                <c:pt idx="4">
                  <c:v>139.74777012776772</c:v>
                </c:pt>
                <c:pt idx="5">
                  <c:v>18.373646527526898</c:v>
                </c:pt>
                <c:pt idx="6">
                  <c:v>114.99426946551607</c:v>
                </c:pt>
                <c:pt idx="7">
                  <c:v>7.8953605552210586</c:v>
                </c:pt>
                <c:pt idx="8">
                  <c:v>103.93987109104287</c:v>
                </c:pt>
                <c:pt idx="9">
                  <c:v>136.28336266238543</c:v>
                </c:pt>
                <c:pt idx="10">
                  <c:v>161.77536982674428</c:v>
                </c:pt>
                <c:pt idx="11">
                  <c:v>48.300559230717752</c:v>
                </c:pt>
                <c:pt idx="12">
                  <c:v>88.964815160880306</c:v>
                </c:pt>
                <c:pt idx="13">
                  <c:v>68.661686142216851</c:v>
                </c:pt>
                <c:pt idx="14">
                  <c:v>47.426724311994093</c:v>
                </c:pt>
                <c:pt idx="15">
                  <c:v>78.223605407719575</c:v>
                </c:pt>
                <c:pt idx="16">
                  <c:v>77.558562903204219</c:v>
                </c:pt>
                <c:pt idx="17">
                  <c:v>42.315176690079582</c:v>
                </c:pt>
                <c:pt idx="18">
                  <c:v>77.713223950765922</c:v>
                </c:pt>
                <c:pt idx="19">
                  <c:v>86.880757544986267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432-BDBC-E92B74E7C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'Oct 25'!$I$103:$I$122</c:f>
              <c:numCache>
                <c:formatCode>_(* #,##0.00_);_(* \(#,##0.00\);_(* "-"??_);_(@_)</c:formatCode>
                <c:ptCount val="20"/>
                <c:pt idx="0">
                  <c:v>117.48044580507056</c:v>
                </c:pt>
                <c:pt idx="1">
                  <c:v>100.34400173523312</c:v>
                </c:pt>
                <c:pt idx="2">
                  <c:v>77.570162481771348</c:v>
                </c:pt>
                <c:pt idx="3">
                  <c:v>7.4081782554016726</c:v>
                </c:pt>
                <c:pt idx="4">
                  <c:v>7.2380511030837917</c:v>
                </c:pt>
                <c:pt idx="5">
                  <c:v>80.918574161482354</c:v>
                </c:pt>
                <c:pt idx="6">
                  <c:v>47.426724311994093</c:v>
                </c:pt>
                <c:pt idx="7">
                  <c:v>58.415391741253579</c:v>
                </c:pt>
                <c:pt idx="8">
                  <c:v>57.135571572680433</c:v>
                </c:pt>
                <c:pt idx="9">
                  <c:v>38.282389874907999</c:v>
                </c:pt>
                <c:pt idx="10">
                  <c:v>152.31398024215665</c:v>
                </c:pt>
                <c:pt idx="11">
                  <c:v>76.719526720181932</c:v>
                </c:pt>
                <c:pt idx="12">
                  <c:v>64.833825215064536</c:v>
                </c:pt>
                <c:pt idx="13">
                  <c:v>8.4212081169308721</c:v>
                </c:pt>
                <c:pt idx="14">
                  <c:v>13.718348995919435</c:v>
                </c:pt>
                <c:pt idx="15">
                  <c:v>61.439015221085008</c:v>
                </c:pt>
                <c:pt idx="16">
                  <c:v>118.11068957388453</c:v>
                </c:pt>
                <c:pt idx="17">
                  <c:v>149.49528265034451</c:v>
                </c:pt>
                <c:pt idx="18">
                  <c:v>74.206284697304156</c:v>
                </c:pt>
                <c:pt idx="19">
                  <c:v>122.79305278881529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5-49D3-973B-9CEEBB87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'Oct 25'!$I$123:$I$142</c:f>
              <c:numCache>
                <c:formatCode>_(* #,##0.00_);_(* \(#,##0.00\);_(* "-"??_);_(@_)</c:formatCode>
                <c:ptCount val="20"/>
                <c:pt idx="0">
                  <c:v>66.426834004950152</c:v>
                </c:pt>
                <c:pt idx="1">
                  <c:v>17.136358147033221</c:v>
                </c:pt>
                <c:pt idx="2">
                  <c:v>123.82928180747875</c:v>
                </c:pt>
                <c:pt idx="3">
                  <c:v>72.334886021807463</c:v>
                </c:pt>
                <c:pt idx="4">
                  <c:v>58.044205227105472</c:v>
                </c:pt>
                <c:pt idx="5">
                  <c:v>76.700194089236717</c:v>
                </c:pt>
                <c:pt idx="6">
                  <c:v>47.156067478761095</c:v>
                </c:pt>
                <c:pt idx="7">
                  <c:v>29.153521542578076</c:v>
                </c:pt>
                <c:pt idx="8">
                  <c:v>79.437694631078983</c:v>
                </c:pt>
                <c:pt idx="9">
                  <c:v>23.121740687671391</c:v>
                </c:pt>
                <c:pt idx="10">
                  <c:v>67.695054594956176</c:v>
                </c:pt>
                <c:pt idx="11">
                  <c:v>65.092882469730398</c:v>
                </c:pt>
                <c:pt idx="12">
                  <c:v>40.215652969429371</c:v>
                </c:pt>
                <c:pt idx="13">
                  <c:v>12.960509862867056</c:v>
                </c:pt>
                <c:pt idx="14">
                  <c:v>86.265979880928469</c:v>
                </c:pt>
                <c:pt idx="15">
                  <c:v>69.110203180145803</c:v>
                </c:pt>
                <c:pt idx="16">
                  <c:v>61.601409321024796</c:v>
                </c:pt>
                <c:pt idx="17">
                  <c:v>31.380640627466693</c:v>
                </c:pt>
                <c:pt idx="18">
                  <c:v>44.828418712957365</c:v>
                </c:pt>
                <c:pt idx="19">
                  <c:v>31.496636413137978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F-4CC6-8CD1-37302D660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'Ene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'Ene 25'!$I$143:$I$162</c:f>
              <c:numCache>
                <c:formatCode>_(* #,##0.00_);_(* \(#,##0.00\);_(* "-"??_);_(@_)</c:formatCode>
                <c:ptCount val="20"/>
                <c:pt idx="0">
                  <c:v>27.637870249436642</c:v>
                </c:pt>
                <c:pt idx="1">
                  <c:v>11.231711204578801</c:v>
                </c:pt>
                <c:pt idx="2">
                  <c:v>10.805420146746874</c:v>
                </c:pt>
                <c:pt idx="3">
                  <c:v>20.788491586186765</c:v>
                </c:pt>
                <c:pt idx="4">
                  <c:v>66.255002743672179</c:v>
                </c:pt>
                <c:pt idx="5">
                  <c:v>35.672398520275983</c:v>
                </c:pt>
                <c:pt idx="6">
                  <c:v>24.699182957148455</c:v>
                </c:pt>
                <c:pt idx="7">
                  <c:v>10.970192222291839</c:v>
                </c:pt>
                <c:pt idx="8">
                  <c:v>20.601044454374147</c:v>
                </c:pt>
                <c:pt idx="9">
                  <c:v>40.499162164450965</c:v>
                </c:pt>
                <c:pt idx="10">
                  <c:v>44.193684665661003</c:v>
                </c:pt>
                <c:pt idx="11">
                  <c:v>41.463607891035259</c:v>
                </c:pt>
                <c:pt idx="12">
                  <c:v>43.315404152893805</c:v>
                </c:pt>
                <c:pt idx="13">
                  <c:v>22.652381211388064</c:v>
                </c:pt>
                <c:pt idx="14">
                  <c:v>1.0929377121010058</c:v>
                </c:pt>
                <c:pt idx="15">
                  <c:v>20.014516332250786</c:v>
                </c:pt>
                <c:pt idx="16">
                  <c:v>18.124928309946142</c:v>
                </c:pt>
                <c:pt idx="17">
                  <c:v>25.436878121056193</c:v>
                </c:pt>
                <c:pt idx="18">
                  <c:v>19.08937403653043</c:v>
                </c:pt>
                <c:pt idx="19">
                  <c:v>48.095306014115629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0-4002-A223-6F884CD85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'Oct 25'!$I$143:$I$162</c:f>
              <c:numCache>
                <c:formatCode>_(* #,##0.00_);_(* \(#,##0.00\);_(* "-"??_);_(@_)</c:formatCode>
                <c:ptCount val="20"/>
                <c:pt idx="0">
                  <c:v>97.127051945949546</c:v>
                </c:pt>
                <c:pt idx="1">
                  <c:v>16.625976690079579</c:v>
                </c:pt>
                <c:pt idx="2">
                  <c:v>31.31877620844201</c:v>
                </c:pt>
                <c:pt idx="3">
                  <c:v>103.16656585323432</c:v>
                </c:pt>
                <c:pt idx="4">
                  <c:v>166.00148295136799</c:v>
                </c:pt>
                <c:pt idx="5">
                  <c:v>43.049816665997703</c:v>
                </c:pt>
                <c:pt idx="6">
                  <c:v>68.54955688273462</c:v>
                </c:pt>
                <c:pt idx="7">
                  <c:v>7.7909643481169049</c:v>
                </c:pt>
                <c:pt idx="8">
                  <c:v>50.048229068165078</c:v>
                </c:pt>
                <c:pt idx="9">
                  <c:v>77.558562903204219</c:v>
                </c:pt>
                <c:pt idx="10">
                  <c:v>51.192720820121728</c:v>
                </c:pt>
                <c:pt idx="11">
                  <c:v>84.120057846009743</c:v>
                </c:pt>
                <c:pt idx="12">
                  <c:v>134.78315050103686</c:v>
                </c:pt>
                <c:pt idx="13">
                  <c:v>73.692036714161461</c:v>
                </c:pt>
                <c:pt idx="14">
                  <c:v>92.448555257207829</c:v>
                </c:pt>
                <c:pt idx="15">
                  <c:v>65.386738460097646</c:v>
                </c:pt>
                <c:pt idx="16">
                  <c:v>57.607287767743642</c:v>
                </c:pt>
                <c:pt idx="17">
                  <c:v>75.861157906214444</c:v>
                </c:pt>
                <c:pt idx="18">
                  <c:v>60.410519254799631</c:v>
                </c:pt>
                <c:pt idx="19">
                  <c:v>7.2341845768947488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6-471C-A23E-EA241FC7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'Oct 25'!$B$163:$C$182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I</c:v>
                  </c:pt>
                  <c:pt idx="1">
                    <c:v>I</c:v>
                  </c:pt>
                  <c:pt idx="2">
                    <c:v>I</c:v>
                  </c:pt>
                  <c:pt idx="3">
                    <c:v>I</c:v>
                  </c:pt>
                  <c:pt idx="4">
                    <c:v>I</c:v>
                  </c:pt>
                  <c:pt idx="5">
                    <c:v>I</c:v>
                  </c:pt>
                  <c:pt idx="6">
                    <c:v>I</c:v>
                  </c:pt>
                  <c:pt idx="7">
                    <c:v>I</c:v>
                  </c:pt>
                  <c:pt idx="8">
                    <c:v>I</c:v>
                  </c:pt>
                  <c:pt idx="9">
                    <c:v>I</c:v>
                  </c:pt>
                  <c:pt idx="10">
                    <c:v>I</c:v>
                  </c:pt>
                  <c:pt idx="11">
                    <c:v>I</c:v>
                  </c:pt>
                  <c:pt idx="12">
                    <c:v>I</c:v>
                  </c:pt>
                  <c:pt idx="13">
                    <c:v>I</c:v>
                  </c:pt>
                  <c:pt idx="14">
                    <c:v>I</c:v>
                  </c:pt>
                  <c:pt idx="15">
                    <c:v>I</c:v>
                  </c:pt>
                  <c:pt idx="16">
                    <c:v>I</c:v>
                  </c:pt>
                  <c:pt idx="17">
                    <c:v>I</c:v>
                  </c:pt>
                  <c:pt idx="18">
                    <c:v>I</c:v>
                  </c:pt>
                  <c:pt idx="19">
                    <c:v>I</c:v>
                  </c:pt>
                </c:lvl>
              </c:multiLvlStrCache>
            </c:multiLvlStrRef>
          </c:cat>
          <c:val>
            <c:numRef>
              <c:f>'Oct 25'!$I$163:$I$182</c:f>
              <c:numCache>
                <c:formatCode>_(* #,##0.00_);_(* \(#,##0.00\);_(* "-"??_);_(@_)</c:formatCode>
                <c:ptCount val="20"/>
                <c:pt idx="0">
                  <c:v>65.59553087430595</c:v>
                </c:pt>
                <c:pt idx="1">
                  <c:v>109.0630182915245</c:v>
                </c:pt>
                <c:pt idx="2">
                  <c:v>47.801777352331236</c:v>
                </c:pt>
                <c:pt idx="3">
                  <c:v>104.12546434811692</c:v>
                </c:pt>
                <c:pt idx="4">
                  <c:v>85.415344119339068</c:v>
                </c:pt>
                <c:pt idx="5">
                  <c:v>118.3156154619038</c:v>
                </c:pt>
                <c:pt idx="6">
                  <c:v>91.19966729814702</c:v>
                </c:pt>
                <c:pt idx="7">
                  <c:v>63.3297465275269</c:v>
                </c:pt>
                <c:pt idx="8">
                  <c:v>66.237374221687048</c:v>
                </c:pt>
                <c:pt idx="9">
                  <c:v>52.955856762325219</c:v>
                </c:pt>
                <c:pt idx="10">
                  <c:v>69.63991726804467</c:v>
                </c:pt>
                <c:pt idx="11">
                  <c:v>10.246208478159048</c:v>
                </c:pt>
                <c:pt idx="12">
                  <c:v>7.2380511030837917</c:v>
                </c:pt>
                <c:pt idx="13">
                  <c:v>44.298704625058512</c:v>
                </c:pt>
                <c:pt idx="14">
                  <c:v>58.488855738845388</c:v>
                </c:pt>
                <c:pt idx="15">
                  <c:v>91.137802879122333</c:v>
                </c:pt>
                <c:pt idx="16">
                  <c:v>108.35544399892969</c:v>
                </c:pt>
                <c:pt idx="17">
                  <c:v>63.001091801458273</c:v>
                </c:pt>
                <c:pt idx="18">
                  <c:v>68.058508056726183</c:v>
                </c:pt>
                <c:pt idx="19">
                  <c:v>92.023237376413121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A-438F-A47C-BA712493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544"/>
        <c:axId val="176160768"/>
      </c:barChart>
      <c:catAx>
        <c:axId val="1727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160768"/>
        <c:crosses val="autoZero"/>
        <c:auto val="1"/>
        <c:lblAlgn val="ctr"/>
        <c:lblOffset val="100"/>
        <c:noMultiLvlLbl val="0"/>
      </c:catAx>
      <c:valAx>
        <c:axId val="17616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25'!$B$3:$C$22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A</c:v>
                  </c:pt>
                  <c:pt idx="1">
                    <c:v>A</c:v>
                  </c:pt>
                  <c:pt idx="2">
                    <c:v>A</c:v>
                  </c:pt>
                  <c:pt idx="3">
                    <c:v>A</c:v>
                  </c:pt>
                  <c:pt idx="4">
                    <c:v>A</c:v>
                  </c:pt>
                  <c:pt idx="5">
                    <c:v>A</c:v>
                  </c:pt>
                  <c:pt idx="6">
                    <c:v>A</c:v>
                  </c:pt>
                  <c:pt idx="7">
                    <c:v>A</c:v>
                  </c:pt>
                  <c:pt idx="8">
                    <c:v>A</c:v>
                  </c:pt>
                  <c:pt idx="9">
                    <c:v>A</c:v>
                  </c:pt>
                  <c:pt idx="10">
                    <c:v>A</c:v>
                  </c:pt>
                  <c:pt idx="11">
                    <c:v>A</c:v>
                  </c:pt>
                  <c:pt idx="12">
                    <c:v>A</c:v>
                  </c:pt>
                  <c:pt idx="13">
                    <c:v>A</c:v>
                  </c:pt>
                  <c:pt idx="14">
                    <c:v>A</c:v>
                  </c:pt>
                  <c:pt idx="15">
                    <c:v>A</c:v>
                  </c:pt>
                  <c:pt idx="16">
                    <c:v>A</c:v>
                  </c:pt>
                  <c:pt idx="17">
                    <c:v>A</c:v>
                  </c:pt>
                  <c:pt idx="18">
                    <c:v>A</c:v>
                  </c:pt>
                  <c:pt idx="19">
                    <c:v>A</c:v>
                  </c:pt>
                </c:lvl>
              </c:multiLvlStrCache>
            </c:multiLvlStrRef>
          </c:cat>
          <c:val>
            <c:numRef>
              <c:f>'Nov 25'!$I$3:$I$22</c:f>
              <c:numCache>
                <c:formatCode>_(* #,##0.00_);_(* \(#,##0.00\);_(* "-"??_);_(@_)</c:formatCode>
                <c:ptCount val="20"/>
                <c:pt idx="0">
                  <c:v>65.041818676759164</c:v>
                </c:pt>
                <c:pt idx="1">
                  <c:v>49.071963588449663</c:v>
                </c:pt>
                <c:pt idx="2">
                  <c:v>56.471369475749917</c:v>
                </c:pt>
                <c:pt idx="3">
                  <c:v>58.372826246145202</c:v>
                </c:pt>
                <c:pt idx="4">
                  <c:v>79.56275576675074</c:v>
                </c:pt>
                <c:pt idx="5">
                  <c:v>89.915572587608608</c:v>
                </c:pt>
                <c:pt idx="6">
                  <c:v>105.32570866834874</c:v>
                </c:pt>
                <c:pt idx="7">
                  <c:v>53.708501183066993</c:v>
                </c:pt>
                <c:pt idx="8">
                  <c:v>138.57936913933275</c:v>
                </c:pt>
                <c:pt idx="9">
                  <c:v>122.18476274740678</c:v>
                </c:pt>
                <c:pt idx="10">
                  <c:v>75.926567036725515</c:v>
                </c:pt>
                <c:pt idx="11">
                  <c:v>122.40309285674235</c:v>
                </c:pt>
                <c:pt idx="12">
                  <c:v>35.412438020745711</c:v>
                </c:pt>
                <c:pt idx="13">
                  <c:v>36.670813378188939</c:v>
                </c:pt>
                <c:pt idx="14">
                  <c:v>13.607214555648993</c:v>
                </c:pt>
                <c:pt idx="15">
                  <c:v>61.060271410148573</c:v>
                </c:pt>
                <c:pt idx="16">
                  <c:v>103.65449092234368</c:v>
                </c:pt>
                <c:pt idx="17">
                  <c:v>157.796388399215</c:v>
                </c:pt>
                <c:pt idx="18">
                  <c:v>99.716609677600218</c:v>
                </c:pt>
                <c:pt idx="19">
                  <c:v>28.21548368937481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8-4DAB-B21A-2D0F1B89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49184"/>
        <c:axId val="159471232"/>
      </c:barChart>
      <c:catAx>
        <c:axId val="627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25'!$B$23:$C$42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B</c:v>
                  </c:pt>
                  <c:pt idx="1">
                    <c:v>B</c:v>
                  </c:pt>
                  <c:pt idx="2">
                    <c:v>B</c:v>
                  </c:pt>
                  <c:pt idx="3">
                    <c:v>B</c:v>
                  </c:pt>
                  <c:pt idx="4">
                    <c:v>B</c:v>
                  </c:pt>
                  <c:pt idx="5">
                    <c:v>B</c:v>
                  </c:pt>
                  <c:pt idx="6">
                    <c:v>B</c:v>
                  </c:pt>
                  <c:pt idx="7">
                    <c:v>B</c:v>
                  </c:pt>
                  <c:pt idx="8">
                    <c:v>B</c:v>
                  </c:pt>
                  <c:pt idx="9">
                    <c:v>B</c:v>
                  </c:pt>
                  <c:pt idx="10">
                    <c:v>B</c:v>
                  </c:pt>
                  <c:pt idx="11">
                    <c:v>B</c:v>
                  </c:pt>
                  <c:pt idx="12">
                    <c:v>B</c:v>
                  </c:pt>
                  <c:pt idx="13">
                    <c:v>B</c:v>
                  </c:pt>
                  <c:pt idx="14">
                    <c:v>B</c:v>
                  </c:pt>
                  <c:pt idx="15">
                    <c:v>B</c:v>
                  </c:pt>
                  <c:pt idx="16">
                    <c:v>B</c:v>
                  </c:pt>
                  <c:pt idx="17">
                    <c:v>B</c:v>
                  </c:pt>
                  <c:pt idx="18">
                    <c:v>B</c:v>
                  </c:pt>
                  <c:pt idx="19">
                    <c:v>B</c:v>
                  </c:pt>
                </c:lvl>
              </c:multiLvlStrCache>
            </c:multiLvlStrRef>
          </c:cat>
          <c:val>
            <c:numRef>
              <c:f>'Nov 25'!$I$23:$I$42</c:f>
              <c:numCache>
                <c:formatCode>_(* #,##0.00_);_(* \(#,##0.00\);_(* "-"??_);_(@_)</c:formatCode>
                <c:ptCount val="20"/>
                <c:pt idx="0">
                  <c:v>54.101495379871025</c:v>
                </c:pt>
                <c:pt idx="1">
                  <c:v>121.54962061115782</c:v>
                </c:pt>
                <c:pt idx="2">
                  <c:v>90.796832301654035</c:v>
                </c:pt>
                <c:pt idx="3">
                  <c:v>66.840064850014002</c:v>
                </c:pt>
                <c:pt idx="4">
                  <c:v>138.59524769273898</c:v>
                </c:pt>
                <c:pt idx="5">
                  <c:v>50.933723975329393</c:v>
                </c:pt>
                <c:pt idx="6">
                  <c:v>89.081948533781883</c:v>
                </c:pt>
                <c:pt idx="7">
                  <c:v>70.412739366414343</c:v>
                </c:pt>
                <c:pt idx="8">
                  <c:v>51.338627087188094</c:v>
                </c:pt>
                <c:pt idx="9">
                  <c:v>55.92752902158675</c:v>
                </c:pt>
                <c:pt idx="10">
                  <c:v>68.154015144379002</c:v>
                </c:pt>
                <c:pt idx="11">
                  <c:v>106.12757561536301</c:v>
                </c:pt>
                <c:pt idx="12">
                  <c:v>86.469926498458079</c:v>
                </c:pt>
                <c:pt idx="13">
                  <c:v>80.563104631342839</c:v>
                </c:pt>
                <c:pt idx="14">
                  <c:v>13.575457448836545</c:v>
                </c:pt>
                <c:pt idx="15">
                  <c:v>101.3124042949257</c:v>
                </c:pt>
                <c:pt idx="16">
                  <c:v>191.35968066162039</c:v>
                </c:pt>
                <c:pt idx="17">
                  <c:v>116.0119751107373</c:v>
                </c:pt>
                <c:pt idx="18">
                  <c:v>102.40802447995512</c:v>
                </c:pt>
                <c:pt idx="19">
                  <c:v>48.067645085506008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9-4B61-94A5-2A4ADF605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616"/>
        <c:axId val="160219136"/>
      </c:barChart>
      <c:catAx>
        <c:axId val="6276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19136"/>
        <c:crosses val="autoZero"/>
        <c:auto val="1"/>
        <c:lblAlgn val="ctr"/>
        <c:lblOffset val="100"/>
        <c:noMultiLvlLbl val="0"/>
      </c:catAx>
      <c:valAx>
        <c:axId val="16021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C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25'!$B$43:$C$62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C</c:v>
                  </c:pt>
                  <c:pt idx="1">
                    <c:v>C</c:v>
                  </c:pt>
                  <c:pt idx="2">
                    <c:v>C</c:v>
                  </c:pt>
                  <c:pt idx="3">
                    <c:v>C</c:v>
                  </c:pt>
                  <c:pt idx="4">
                    <c:v>C</c:v>
                  </c:pt>
                  <c:pt idx="5">
                    <c:v>C</c:v>
                  </c:pt>
                  <c:pt idx="6">
                    <c:v>C</c:v>
                  </c:pt>
                  <c:pt idx="7">
                    <c:v>C</c:v>
                  </c:pt>
                  <c:pt idx="8">
                    <c:v>C</c:v>
                  </c:pt>
                  <c:pt idx="9">
                    <c:v>C</c:v>
                  </c:pt>
                  <c:pt idx="10">
                    <c:v>C</c:v>
                  </c:pt>
                  <c:pt idx="11">
                    <c:v>C</c:v>
                  </c:pt>
                  <c:pt idx="12">
                    <c:v>C</c:v>
                  </c:pt>
                  <c:pt idx="13">
                    <c:v>C</c:v>
                  </c:pt>
                  <c:pt idx="14">
                    <c:v>C</c:v>
                  </c:pt>
                  <c:pt idx="15">
                    <c:v>C</c:v>
                  </c:pt>
                  <c:pt idx="16">
                    <c:v>C</c:v>
                  </c:pt>
                  <c:pt idx="17">
                    <c:v>C</c:v>
                  </c:pt>
                  <c:pt idx="18">
                    <c:v>C</c:v>
                  </c:pt>
                  <c:pt idx="19">
                    <c:v>C</c:v>
                  </c:pt>
                </c:lvl>
              </c:multiLvlStrCache>
            </c:multiLvlStrRef>
          </c:cat>
          <c:val>
            <c:numRef>
              <c:f>'Nov 25'!$I$43:$I$62</c:f>
              <c:numCache>
                <c:formatCode>_(* #,##0.00_);_(* \(#,##0.00\);_(* "-"??_);_(@_)</c:formatCode>
                <c:ptCount val="20"/>
                <c:pt idx="0">
                  <c:v>43.740739282310052</c:v>
                </c:pt>
                <c:pt idx="1">
                  <c:v>66.443101014858414</c:v>
                </c:pt>
                <c:pt idx="2">
                  <c:v>13.571487810484989</c:v>
                </c:pt>
                <c:pt idx="3">
                  <c:v>99.891273765068661</c:v>
                </c:pt>
                <c:pt idx="4">
                  <c:v>143.65653659097279</c:v>
                </c:pt>
                <c:pt idx="5">
                  <c:v>143.33499588449675</c:v>
                </c:pt>
                <c:pt idx="6">
                  <c:v>64.99021337818894</c:v>
                </c:pt>
                <c:pt idx="7">
                  <c:v>53.462383605270517</c:v>
                </c:pt>
                <c:pt idx="8">
                  <c:v>52.513640039248656</c:v>
                </c:pt>
                <c:pt idx="9">
                  <c:v>83.921418676759174</c:v>
                </c:pt>
                <c:pt idx="10">
                  <c:v>49.937344749088851</c:v>
                </c:pt>
                <c:pt idx="11">
                  <c:v>51.334657448836545</c:v>
                </c:pt>
                <c:pt idx="12">
                  <c:v>50.620122545556477</c:v>
                </c:pt>
                <c:pt idx="13">
                  <c:v>39.179624816372289</c:v>
                </c:pt>
                <c:pt idx="14">
                  <c:v>78.276592940846626</c:v>
                </c:pt>
                <c:pt idx="15">
                  <c:v>62.42979664143536</c:v>
                </c:pt>
                <c:pt idx="16">
                  <c:v>166.2556877263807</c:v>
                </c:pt>
                <c:pt idx="17">
                  <c:v>73.882203285674223</c:v>
                </c:pt>
                <c:pt idx="18">
                  <c:v>119.4258640930754</c:v>
                </c:pt>
                <c:pt idx="19">
                  <c:v>78.796615564900463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6-4B5B-B153-2CE77E707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50208"/>
        <c:axId val="160221440"/>
      </c:barChart>
      <c:catAx>
        <c:axId val="627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1440"/>
        <c:crosses val="autoZero"/>
        <c:auto val="1"/>
        <c:lblAlgn val="ctr"/>
        <c:lblOffset val="100"/>
        <c:noMultiLvlLbl val="0"/>
      </c:catAx>
      <c:valAx>
        <c:axId val="16022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5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D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25'!$B$63:$C$82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D</c:v>
                  </c:pt>
                  <c:pt idx="1">
                    <c:v>D</c:v>
                  </c:pt>
                  <c:pt idx="2">
                    <c:v>D</c:v>
                  </c:pt>
                  <c:pt idx="3">
                    <c:v>D</c:v>
                  </c:pt>
                  <c:pt idx="4">
                    <c:v>D</c:v>
                  </c:pt>
                  <c:pt idx="5">
                    <c:v>D</c:v>
                  </c:pt>
                  <c:pt idx="6">
                    <c:v>D</c:v>
                  </c:pt>
                  <c:pt idx="7">
                    <c:v>D</c:v>
                  </c:pt>
                  <c:pt idx="8">
                    <c:v>D</c:v>
                  </c:pt>
                  <c:pt idx="9">
                    <c:v>D</c:v>
                  </c:pt>
                  <c:pt idx="10">
                    <c:v>D</c:v>
                  </c:pt>
                  <c:pt idx="11">
                    <c:v>D</c:v>
                  </c:pt>
                  <c:pt idx="12">
                    <c:v>D</c:v>
                  </c:pt>
                  <c:pt idx="13">
                    <c:v>D</c:v>
                  </c:pt>
                  <c:pt idx="14">
                    <c:v>D</c:v>
                  </c:pt>
                  <c:pt idx="15">
                    <c:v>D</c:v>
                  </c:pt>
                  <c:pt idx="16">
                    <c:v>D</c:v>
                  </c:pt>
                  <c:pt idx="17">
                    <c:v>D</c:v>
                  </c:pt>
                  <c:pt idx="18">
                    <c:v>D</c:v>
                  </c:pt>
                  <c:pt idx="19">
                    <c:v>D</c:v>
                  </c:pt>
                </c:lvl>
              </c:multiLvlStrCache>
            </c:multiLvlStrRef>
          </c:cat>
          <c:val>
            <c:numRef>
              <c:f>'Nov 25'!$I$63:$I$82</c:f>
              <c:numCache>
                <c:formatCode>_(* #,##0.00_);_(* \(#,##0.00\);_(* "-"??_);_(@_)</c:formatCode>
                <c:ptCount val="20"/>
                <c:pt idx="0">
                  <c:v>64.787761822259597</c:v>
                </c:pt>
                <c:pt idx="1">
                  <c:v>54.010193697785233</c:v>
                </c:pt>
                <c:pt idx="2">
                  <c:v>75.628844160358824</c:v>
                </c:pt>
                <c:pt idx="3">
                  <c:v>119.62831564900475</c:v>
                </c:pt>
                <c:pt idx="4">
                  <c:v>60.508491679282294</c:v>
                </c:pt>
                <c:pt idx="5">
                  <c:v>149.7896278441267</c:v>
                </c:pt>
                <c:pt idx="6">
                  <c:v>21.490916321839066</c:v>
                </c:pt>
                <c:pt idx="7">
                  <c:v>73.636085707877754</c:v>
                </c:pt>
                <c:pt idx="8">
                  <c:v>76.537891342865137</c:v>
                </c:pt>
                <c:pt idx="9">
                  <c:v>77.41915105691055</c:v>
                </c:pt>
                <c:pt idx="10">
                  <c:v>42.895206313428638</c:v>
                </c:pt>
                <c:pt idx="11">
                  <c:v>55.463081334454714</c:v>
                </c:pt>
                <c:pt idx="12">
                  <c:v>92.690349795346208</c:v>
                </c:pt>
                <c:pt idx="13">
                  <c:v>109.31519521166243</c:v>
                </c:pt>
                <c:pt idx="14">
                  <c:v>119.71961733109055</c:v>
                </c:pt>
                <c:pt idx="15">
                  <c:v>87.089190081300785</c:v>
                </c:pt>
                <c:pt idx="16">
                  <c:v>150.00795795346227</c:v>
                </c:pt>
                <c:pt idx="17">
                  <c:v>102.43184231006447</c:v>
                </c:pt>
                <c:pt idx="18">
                  <c:v>69.594993865993814</c:v>
                </c:pt>
                <c:pt idx="19">
                  <c:v>89.089887810484981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3-4213-BFA1-DA77C3975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152"/>
        <c:axId val="160223744"/>
      </c:barChart>
      <c:catAx>
        <c:axId val="62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3744"/>
        <c:crosses val="autoZero"/>
        <c:auto val="1"/>
        <c:lblAlgn val="ctr"/>
        <c:lblOffset val="100"/>
        <c:noMultiLvlLbl val="0"/>
      </c:catAx>
      <c:valAx>
        <c:axId val="1602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25'!$B$83:$C$102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E</c:v>
                  </c:pt>
                  <c:pt idx="1">
                    <c:v>E</c:v>
                  </c:pt>
                  <c:pt idx="2">
                    <c:v>E</c:v>
                  </c:pt>
                  <c:pt idx="3">
                    <c:v>E</c:v>
                  </c:pt>
                  <c:pt idx="4">
                    <c:v>E</c:v>
                  </c:pt>
                  <c:pt idx="5">
                    <c:v>E</c:v>
                  </c:pt>
                  <c:pt idx="6">
                    <c:v>E</c:v>
                  </c:pt>
                  <c:pt idx="7">
                    <c:v>E</c:v>
                  </c:pt>
                  <c:pt idx="8">
                    <c:v>E</c:v>
                  </c:pt>
                  <c:pt idx="9">
                    <c:v>E</c:v>
                  </c:pt>
                  <c:pt idx="10">
                    <c:v>E</c:v>
                  </c:pt>
                  <c:pt idx="11">
                    <c:v>E</c:v>
                  </c:pt>
                  <c:pt idx="12">
                    <c:v>E</c:v>
                  </c:pt>
                  <c:pt idx="13">
                    <c:v>E</c:v>
                  </c:pt>
                  <c:pt idx="14">
                    <c:v>E</c:v>
                  </c:pt>
                  <c:pt idx="15">
                    <c:v>E</c:v>
                  </c:pt>
                  <c:pt idx="16">
                    <c:v>E</c:v>
                  </c:pt>
                  <c:pt idx="17">
                    <c:v>E</c:v>
                  </c:pt>
                  <c:pt idx="18">
                    <c:v>E</c:v>
                  </c:pt>
                  <c:pt idx="19">
                    <c:v>E</c:v>
                  </c:pt>
                </c:lvl>
              </c:multiLvlStrCache>
            </c:multiLvlStrRef>
          </c:cat>
          <c:val>
            <c:numRef>
              <c:f>'Nov 25'!$I$83:$I$102</c:f>
              <c:numCache>
                <c:formatCode>_(* #,##0.00_);_(* \(#,##0.00\);_(* "-"??_);_(@_)</c:formatCode>
                <c:ptCount val="20"/>
                <c:pt idx="0">
                  <c:v>141.33429815531258</c:v>
                </c:pt>
                <c:pt idx="1">
                  <c:v>93.242129526212494</c:v>
                </c:pt>
                <c:pt idx="2">
                  <c:v>30.557570316792809</c:v>
                </c:pt>
                <c:pt idx="3">
                  <c:v>77.831993445472364</c:v>
                </c:pt>
                <c:pt idx="4">
                  <c:v>153.01297418559014</c:v>
                </c:pt>
                <c:pt idx="5">
                  <c:v>13.730273344547227</c:v>
                </c:pt>
                <c:pt idx="6">
                  <c:v>129.65959176338657</c:v>
                </c:pt>
                <c:pt idx="7">
                  <c:v>14.563897398373971</c:v>
                </c:pt>
                <c:pt idx="8">
                  <c:v>109.71215904681804</c:v>
                </c:pt>
                <c:pt idx="9">
                  <c:v>132.25573524530415</c:v>
                </c:pt>
                <c:pt idx="10">
                  <c:v>170.39602052705354</c:v>
                </c:pt>
                <c:pt idx="11">
                  <c:v>54.843817751611986</c:v>
                </c:pt>
                <c:pt idx="12">
                  <c:v>93.778030703672556</c:v>
                </c:pt>
                <c:pt idx="13">
                  <c:v>105.77427780207455</c:v>
                </c:pt>
                <c:pt idx="14">
                  <c:v>57.741653748247813</c:v>
                </c:pt>
                <c:pt idx="15">
                  <c:v>67.788808416035863</c:v>
                </c:pt>
                <c:pt idx="16">
                  <c:v>86.569167457246976</c:v>
                </c:pt>
                <c:pt idx="17">
                  <c:v>68.408071998878597</c:v>
                </c:pt>
                <c:pt idx="18">
                  <c:v>93.901089492570776</c:v>
                </c:pt>
                <c:pt idx="19">
                  <c:v>103.76564079618726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D-4703-893B-E904B60DC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9664"/>
        <c:axId val="160226048"/>
      </c:barChart>
      <c:catAx>
        <c:axId val="627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0226048"/>
        <c:crosses val="autoZero"/>
        <c:auto val="1"/>
        <c:lblAlgn val="ctr"/>
        <c:lblOffset val="100"/>
        <c:noMultiLvlLbl val="0"/>
      </c:catAx>
      <c:valAx>
        <c:axId val="16022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F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25'!$B$103:$C$122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F</c:v>
                  </c:pt>
                  <c:pt idx="1">
                    <c:v>F</c:v>
                  </c:pt>
                  <c:pt idx="2">
                    <c:v>F</c:v>
                  </c:pt>
                  <c:pt idx="3">
                    <c:v>F</c:v>
                  </c:pt>
                  <c:pt idx="4">
                    <c:v>F</c:v>
                  </c:pt>
                  <c:pt idx="5">
                    <c:v>F</c:v>
                  </c:pt>
                  <c:pt idx="6">
                    <c:v>F</c:v>
                  </c:pt>
                  <c:pt idx="7">
                    <c:v>F</c:v>
                  </c:pt>
                  <c:pt idx="8">
                    <c:v>F</c:v>
                  </c:pt>
                  <c:pt idx="9">
                    <c:v>F</c:v>
                  </c:pt>
                  <c:pt idx="10">
                    <c:v>F</c:v>
                  </c:pt>
                  <c:pt idx="11">
                    <c:v>F</c:v>
                  </c:pt>
                  <c:pt idx="12">
                    <c:v>F</c:v>
                  </c:pt>
                  <c:pt idx="13">
                    <c:v>F</c:v>
                  </c:pt>
                  <c:pt idx="14">
                    <c:v>F</c:v>
                  </c:pt>
                  <c:pt idx="15">
                    <c:v>F</c:v>
                  </c:pt>
                  <c:pt idx="16">
                    <c:v>F</c:v>
                  </c:pt>
                  <c:pt idx="17">
                    <c:v>F</c:v>
                  </c:pt>
                  <c:pt idx="18">
                    <c:v>F</c:v>
                  </c:pt>
                  <c:pt idx="19">
                    <c:v>F</c:v>
                  </c:pt>
                </c:lvl>
              </c:multiLvlStrCache>
            </c:multiLvlStrRef>
          </c:cat>
          <c:val>
            <c:numRef>
              <c:f>'Nov 25'!$I$103:$I$122</c:f>
              <c:numCache>
                <c:formatCode>_(* #,##0.00_);_(* \(#,##0.00\);_(* "-"??_);_(@_)</c:formatCode>
                <c:ptCount val="20"/>
                <c:pt idx="0">
                  <c:v>128.67909109055228</c:v>
                </c:pt>
                <c:pt idx="1">
                  <c:v>119.48143902999718</c:v>
                </c:pt>
                <c:pt idx="2">
                  <c:v>86.196021452200711</c:v>
                </c:pt>
                <c:pt idx="3">
                  <c:v>21.574278727221742</c:v>
                </c:pt>
                <c:pt idx="4">
                  <c:v>13.571487810484989</c:v>
                </c:pt>
                <c:pt idx="5">
                  <c:v>92.015511275581702</c:v>
                </c:pt>
                <c:pt idx="6">
                  <c:v>31.347528348752437</c:v>
                </c:pt>
                <c:pt idx="7">
                  <c:v>104.15069571628817</c:v>
                </c:pt>
                <c:pt idx="8">
                  <c:v>79.729480577516114</c:v>
                </c:pt>
                <c:pt idx="9">
                  <c:v>49.68328789458927</c:v>
                </c:pt>
                <c:pt idx="10">
                  <c:v>38.536543403420225</c:v>
                </c:pt>
                <c:pt idx="11">
                  <c:v>57.99968024109895</c:v>
                </c:pt>
                <c:pt idx="12">
                  <c:v>67.407723134286499</c:v>
                </c:pt>
                <c:pt idx="13">
                  <c:v>15.385612537146049</c:v>
                </c:pt>
                <c:pt idx="14">
                  <c:v>16.33038646481636</c:v>
                </c:pt>
                <c:pt idx="15">
                  <c:v>88.546047356321822</c:v>
                </c:pt>
                <c:pt idx="16">
                  <c:v>91.551063588449665</c:v>
                </c:pt>
                <c:pt idx="17">
                  <c:v>178.0653618222596</c:v>
                </c:pt>
                <c:pt idx="18">
                  <c:v>26.877715564900463</c:v>
                </c:pt>
                <c:pt idx="19">
                  <c:v>111.09359319315951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678-B854-218D9D930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002432"/>
        <c:axId val="171369600"/>
      </c:barChart>
      <c:catAx>
        <c:axId val="1540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69600"/>
        <c:crosses val="autoZero"/>
        <c:auto val="1"/>
        <c:lblAlgn val="ctr"/>
        <c:lblOffset val="100"/>
        <c:noMultiLvlLbl val="0"/>
      </c:catAx>
      <c:valAx>
        <c:axId val="17136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400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G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25'!$B$123:$C$142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G</c:v>
                  </c:pt>
                  <c:pt idx="1">
                    <c:v>G</c:v>
                  </c:pt>
                  <c:pt idx="2">
                    <c:v>G</c:v>
                  </c:pt>
                  <c:pt idx="3">
                    <c:v>G</c:v>
                  </c:pt>
                  <c:pt idx="4">
                    <c:v>G</c:v>
                  </c:pt>
                  <c:pt idx="5">
                    <c:v>G</c:v>
                  </c:pt>
                  <c:pt idx="6">
                    <c:v>G</c:v>
                  </c:pt>
                  <c:pt idx="7">
                    <c:v>G</c:v>
                  </c:pt>
                  <c:pt idx="8">
                    <c:v>G</c:v>
                  </c:pt>
                  <c:pt idx="9">
                    <c:v>G</c:v>
                  </c:pt>
                  <c:pt idx="10">
                    <c:v>G</c:v>
                  </c:pt>
                  <c:pt idx="11">
                    <c:v>G</c:v>
                  </c:pt>
                  <c:pt idx="12">
                    <c:v>G</c:v>
                  </c:pt>
                  <c:pt idx="13">
                    <c:v>G</c:v>
                  </c:pt>
                  <c:pt idx="14">
                    <c:v>G</c:v>
                  </c:pt>
                  <c:pt idx="15">
                    <c:v>G</c:v>
                  </c:pt>
                  <c:pt idx="16">
                    <c:v>G</c:v>
                  </c:pt>
                  <c:pt idx="17">
                    <c:v>G</c:v>
                  </c:pt>
                  <c:pt idx="18">
                    <c:v>G</c:v>
                  </c:pt>
                  <c:pt idx="19">
                    <c:v>G</c:v>
                  </c:pt>
                </c:lvl>
              </c:multiLvlStrCache>
            </c:multiLvlStrRef>
          </c:cat>
          <c:val>
            <c:numRef>
              <c:f>'Nov 25'!$I$123:$I$142</c:f>
              <c:numCache>
                <c:formatCode>_(* #,##0.00_);_(* \(#,##0.00\);_(* "-"??_);_(@_)</c:formatCode>
                <c:ptCount val="20"/>
                <c:pt idx="0">
                  <c:v>101.25682935800393</c:v>
                </c:pt>
                <c:pt idx="1">
                  <c:v>18.493839366414342</c:v>
                </c:pt>
                <c:pt idx="2">
                  <c:v>51.882467541351261</c:v>
                </c:pt>
                <c:pt idx="3">
                  <c:v>79.153883016540505</c:v>
                </c:pt>
                <c:pt idx="4">
                  <c:v>66.324011864311728</c:v>
                </c:pt>
                <c:pt idx="5">
                  <c:v>75.859083184749068</c:v>
                </c:pt>
                <c:pt idx="6">
                  <c:v>101.62997536305016</c:v>
                </c:pt>
                <c:pt idx="7">
                  <c:v>48.484457112419385</c:v>
                </c:pt>
                <c:pt idx="8">
                  <c:v>115.55943633865991</c:v>
                </c:pt>
                <c:pt idx="9">
                  <c:v>37.123352150266314</c:v>
                </c:pt>
                <c:pt idx="10">
                  <c:v>57.150177633865979</c:v>
                </c:pt>
                <c:pt idx="11">
                  <c:v>86.065023386599364</c:v>
                </c:pt>
                <c:pt idx="12">
                  <c:v>61.52471909728061</c:v>
                </c:pt>
                <c:pt idx="13">
                  <c:v>14.30190126717128</c:v>
                </c:pt>
                <c:pt idx="14">
                  <c:v>91.02310168769273</c:v>
                </c:pt>
                <c:pt idx="15">
                  <c:v>70.869247776843281</c:v>
                </c:pt>
                <c:pt idx="16">
                  <c:v>75.811447524530394</c:v>
                </c:pt>
                <c:pt idx="17">
                  <c:v>48.762331797028303</c:v>
                </c:pt>
                <c:pt idx="18">
                  <c:v>72.917581166246123</c:v>
                </c:pt>
                <c:pt idx="19">
                  <c:v>49.040206481637213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5-4971-A89B-FC00D74C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767104"/>
        <c:axId val="171371904"/>
      </c:barChart>
      <c:catAx>
        <c:axId val="6276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1904"/>
        <c:crosses val="autoZero"/>
        <c:auto val="1"/>
        <c:lblAlgn val="ctr"/>
        <c:lblOffset val="100"/>
        <c:noMultiLvlLbl val="0"/>
      </c:catAx>
      <c:valAx>
        <c:axId val="17137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276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'Nov 25'!$B$143:$C$162</c:f>
              <c:multiLvlStrCache>
                <c:ptCount val="20"/>
                <c:lvl>
                  <c:pt idx="0">
                    <c:v>101</c:v>
                  </c:pt>
                  <c:pt idx="1">
                    <c:v>102</c:v>
                  </c:pt>
                  <c:pt idx="2">
                    <c:v>103</c:v>
                  </c:pt>
                  <c:pt idx="3">
                    <c:v>104</c:v>
                  </c:pt>
                  <c:pt idx="4">
                    <c:v>201</c:v>
                  </c:pt>
                  <c:pt idx="5">
                    <c:v>202</c:v>
                  </c:pt>
                  <c:pt idx="6">
                    <c:v>203</c:v>
                  </c:pt>
                  <c:pt idx="7">
                    <c:v>204</c:v>
                  </c:pt>
                  <c:pt idx="8">
                    <c:v>301</c:v>
                  </c:pt>
                  <c:pt idx="9">
                    <c:v>302</c:v>
                  </c:pt>
                  <c:pt idx="10">
                    <c:v>303</c:v>
                  </c:pt>
                  <c:pt idx="11">
                    <c:v>304</c:v>
                  </c:pt>
                  <c:pt idx="12">
                    <c:v>401</c:v>
                  </c:pt>
                  <c:pt idx="13">
                    <c:v>402</c:v>
                  </c:pt>
                  <c:pt idx="14">
                    <c:v>403</c:v>
                  </c:pt>
                  <c:pt idx="15">
                    <c:v>404</c:v>
                  </c:pt>
                  <c:pt idx="16">
                    <c:v>501</c:v>
                  </c:pt>
                  <c:pt idx="17">
                    <c:v>502</c:v>
                  </c:pt>
                  <c:pt idx="18">
                    <c:v>503</c:v>
                  </c:pt>
                  <c:pt idx="19">
                    <c:v>504</c:v>
                  </c:pt>
                </c:lvl>
                <c:lvl>
                  <c:pt idx="0">
                    <c:v>H</c:v>
                  </c:pt>
                  <c:pt idx="1">
                    <c:v>H</c:v>
                  </c:pt>
                  <c:pt idx="2">
                    <c:v>H</c:v>
                  </c:pt>
                  <c:pt idx="3">
                    <c:v>H</c:v>
                  </c:pt>
                  <c:pt idx="4">
                    <c:v>H</c:v>
                  </c:pt>
                  <c:pt idx="5">
                    <c:v>H</c:v>
                  </c:pt>
                  <c:pt idx="6">
                    <c:v>H</c:v>
                  </c:pt>
                  <c:pt idx="7">
                    <c:v>H</c:v>
                  </c:pt>
                  <c:pt idx="8">
                    <c:v>H</c:v>
                  </c:pt>
                  <c:pt idx="9">
                    <c:v>H</c:v>
                  </c:pt>
                  <c:pt idx="10">
                    <c:v>H</c:v>
                  </c:pt>
                  <c:pt idx="11">
                    <c:v>H</c:v>
                  </c:pt>
                  <c:pt idx="12">
                    <c:v>H</c:v>
                  </c:pt>
                  <c:pt idx="13">
                    <c:v>H</c:v>
                  </c:pt>
                  <c:pt idx="14">
                    <c:v>H</c:v>
                  </c:pt>
                  <c:pt idx="15">
                    <c:v>H</c:v>
                  </c:pt>
                  <c:pt idx="16">
                    <c:v>H</c:v>
                  </c:pt>
                  <c:pt idx="17">
                    <c:v>H</c:v>
                  </c:pt>
                  <c:pt idx="18">
                    <c:v>H</c:v>
                  </c:pt>
                  <c:pt idx="19">
                    <c:v>H</c:v>
                  </c:pt>
                </c:lvl>
              </c:multiLvlStrCache>
            </c:multiLvlStrRef>
          </c:cat>
          <c:val>
            <c:numRef>
              <c:f>'Nov 25'!$I$143:$I$162</c:f>
              <c:numCache>
                <c:formatCode>_(* #,##0.00_);_(* \(#,##0.00\);_(* "-"??_);_(@_)</c:formatCode>
                <c:ptCount val="20"/>
                <c:pt idx="0">
                  <c:v>88.498411696103148</c:v>
                </c:pt>
                <c:pt idx="1">
                  <c:v>31.176833899635536</c:v>
                </c:pt>
                <c:pt idx="2">
                  <c:v>29.426223386599368</c:v>
                </c:pt>
                <c:pt idx="3">
                  <c:v>76.121079315951761</c:v>
                </c:pt>
                <c:pt idx="4">
                  <c:v>190.49826913933276</c:v>
                </c:pt>
                <c:pt idx="5">
                  <c:v>65.764292856742344</c:v>
                </c:pt>
                <c:pt idx="6">
                  <c:v>96.397992015699458</c:v>
                </c:pt>
                <c:pt idx="7">
                  <c:v>22.927925405102314</c:v>
                </c:pt>
                <c:pt idx="8">
                  <c:v>47.869163167928221</c:v>
                </c:pt>
                <c:pt idx="9">
                  <c:v>79.856509004765883</c:v>
                </c:pt>
                <c:pt idx="10">
                  <c:v>53.954618760863454</c:v>
                </c:pt>
                <c:pt idx="11">
                  <c:v>97.743699416876922</c:v>
                </c:pt>
                <c:pt idx="12">
                  <c:v>100.04212002242781</c:v>
                </c:pt>
                <c:pt idx="13">
                  <c:v>47.674650888701976</c:v>
                </c:pt>
                <c:pt idx="14">
                  <c:v>86.791467204934094</c:v>
                </c:pt>
                <c:pt idx="15">
                  <c:v>77.66129899635547</c:v>
                </c:pt>
                <c:pt idx="16">
                  <c:v>19.323493781889532</c:v>
                </c:pt>
                <c:pt idx="17">
                  <c:v>77.339758289879427</c:v>
                </c:pt>
                <c:pt idx="18">
                  <c:v>67.70941564900474</c:v>
                </c:pt>
                <c:pt idx="19">
                  <c:v>23.023196725539655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2-4D13-8844-61E46CF88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16032"/>
        <c:axId val="171374208"/>
      </c:barChart>
      <c:catAx>
        <c:axId val="1727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1374208"/>
        <c:crosses val="autoZero"/>
        <c:auto val="1"/>
        <c:lblAlgn val="ctr"/>
        <c:lblOffset val="100"/>
        <c:noMultiLvlLbl val="0"/>
      </c:catAx>
      <c:valAx>
        <c:axId val="171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7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chart" Target="../charts/chart85.xml"/><Relationship Id="rId7" Type="http://schemas.openxmlformats.org/officeDocument/2006/relationships/chart" Target="../charts/chart89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190500</xdr:colOff>
      <xdr:row>30</xdr:row>
      <xdr:rowOff>1347108</xdr:rowOff>
    </xdr:from>
    <xdr:to>
      <xdr:col>13</xdr:col>
      <xdr:colOff>319123</xdr:colOff>
      <xdr:row>34</xdr:row>
      <xdr:rowOff>163289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259036" y="8654144"/>
          <a:ext cx="1415143" cy="1360714"/>
        </a:xfrm>
        <a:prstGeom prst="rect">
          <a:avLst/>
        </a:prstGeom>
      </xdr:spPr>
    </xdr:pic>
    <xdr:clientData/>
  </xdr:twoCellAnchor>
  <xdr:twoCellAnchor editAs="oneCell">
    <xdr:from>
      <xdr:col>31</xdr:col>
      <xdr:colOff>627062</xdr:colOff>
      <xdr:row>30</xdr:row>
      <xdr:rowOff>910274</xdr:rowOff>
    </xdr:from>
    <xdr:to>
      <xdr:col>35</xdr:col>
      <xdr:colOff>685510</xdr:colOff>
      <xdr:row>37</xdr:row>
      <xdr:rowOff>226929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4FF2B4-1D60-4E09-9411-E89787D0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0" y="8458837"/>
          <a:ext cx="1852323" cy="2650405"/>
        </a:xfrm>
        <a:prstGeom prst="rect">
          <a:avLst/>
        </a:prstGeom>
      </xdr:spPr>
    </xdr:pic>
    <xdr:clientData/>
  </xdr:twoCellAnchor>
  <xdr:oneCellAnchor>
    <xdr:from>
      <xdr:col>33</xdr:col>
      <xdr:colOff>309565</xdr:colOff>
      <xdr:row>36</xdr:row>
      <xdr:rowOff>198439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08E6B2-3487-A0BE-71C6-E32A3951C75E}"/>
            </a:ext>
          </a:extLst>
        </xdr:cNvPr>
        <xdr:cNvSpPr txBox="1"/>
      </xdr:nvSpPr>
      <xdr:spPr>
        <a:xfrm>
          <a:off x="15835315" y="10826752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  <xdr:twoCellAnchor>
    <xdr:from>
      <xdr:col>11</xdr:col>
      <xdr:colOff>71439</xdr:colOff>
      <xdr:row>37</xdr:row>
      <xdr:rowOff>95250</xdr:rowOff>
    </xdr:from>
    <xdr:to>
      <xdr:col>18</xdr:col>
      <xdr:colOff>333376</xdr:colOff>
      <xdr:row>52</xdr:row>
      <xdr:rowOff>31749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CC54E2-BF6D-3550-4767-C68445E1C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73AF4DA-BEAE-4E5C-850D-CDEB1D2DD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3AB5813-5BD5-451B-9D88-2D6513641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0A8EC943-3C63-4FEA-B977-86B0103F3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1FECEEF4-674C-4FE1-A6C6-1F3AAF142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C2EB1C5D-E622-4EAA-B3E5-2CACEFFDF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C396F4C0-2B4A-4BED-B244-57550EA5F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6672C384-D386-4E3E-A0E7-F45EB778B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C0640C3B-E641-4AD7-8B92-7769971C6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6A5F28EB-6E1C-4FED-AD97-A642D70FC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5F7F1EF-F89E-446F-A242-89C24B2F6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016B9C6-FD01-4786-AD3D-1C6935556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4E3A46BE-5D96-4774-AF9B-956C52AB7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71A2DA65-5C52-426B-8C41-CB68E76F5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1A488EF5-0BB3-4488-A3EE-4A3A4E592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DB092A7C-EBD0-4DC7-823C-75EABB3F5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860AD2CE-BBAB-4D97-8AB2-C225B66F7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0D8044E1-7236-44E0-81B3-633C3EB1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A72ED840-FF25-4D9E-8CEA-E77E97B6B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02DCC54F-4A36-4472-A624-689D4234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6B705C0-FC62-4972-8E3F-1CFFFE369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0B1CB21E-5B90-48FF-8ECB-C9A4D85F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288F943A-B0C7-419E-B64F-B664CE4CB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07B6D0A3-03A7-4352-8310-E9206F533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4CEDC175-1861-4535-A096-FCDDB0BA1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B34313F7-ECBC-4DAF-988D-858198360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93E2EC17-25AE-4EE5-A15E-A73A8FB62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CCA32B59-045D-447C-A724-468A5E6EB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CC5C5D7-B8C2-4988-97C9-5AB66F5CE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72724E1-366B-4BCF-A903-D8BE63E31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7F919094-BD90-49EE-AAE8-D86F7BAB6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B196C6DB-222E-4BC0-AB2D-79FFCD8D0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DC72B4B4-F610-49D6-8125-4901F876E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9E4FD52E-AC40-4C20-974F-A2A30E88B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3E103C6B-4CE8-4A82-B869-C9BC5551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D1AFE83A-6FAB-4B9F-9C06-0E402FAA1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EC00C029-FFF5-4495-A2D8-54B5EEA3A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0555C9B-D80C-46D9-91C7-520D7A450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26A7B381-E777-4B59-AD89-BAEF5E1EC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7999BF8F-4485-4AD2-B94B-15EAF1ECE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A5D28CF0-8B73-46E4-B203-1D15CBEA7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EB0DAA91-82AF-4AD8-89CE-503CC26E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B5838875-BF3F-4B0E-9D2E-B04B4E1F9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BA4E7DA3-C233-45D2-B421-54722A38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63D0F4E3-A9AE-401D-B17E-34BABE12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D519D4AA-4BB4-4DE3-B752-EDB72292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303611</xdr:colOff>
      <xdr:row>12</xdr:row>
      <xdr:rowOff>178594</xdr:rowOff>
    </xdr:from>
    <xdr:to>
      <xdr:col>9</xdr:col>
      <xdr:colOff>410427</xdr:colOff>
      <xdr:row>19</xdr:row>
      <xdr:rowOff>217374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905377" y="3036094"/>
          <a:ext cx="1892754" cy="1705655"/>
        </a:xfrm>
        <a:prstGeom prst="rect">
          <a:avLst/>
        </a:prstGeom>
      </xdr:spPr>
    </xdr:pic>
    <xdr:clientData/>
  </xdr:twoCellAnchor>
  <xdr:twoCellAnchor editAs="oneCell">
    <xdr:from>
      <xdr:col>6</xdr:col>
      <xdr:colOff>386953</xdr:colOff>
      <xdr:row>29</xdr:row>
      <xdr:rowOff>14829</xdr:rowOff>
    </xdr:from>
    <xdr:to>
      <xdr:col>9</xdr:col>
      <xdr:colOff>458391</xdr:colOff>
      <xdr:row>37</xdr:row>
      <xdr:rowOff>197909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3FB2FC-8D5D-41D7-985E-CC335782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922" y="7694360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244054</xdr:colOff>
      <xdr:row>36</xdr:row>
      <xdr:rowOff>160695</xdr:rowOff>
    </xdr:from>
    <xdr:ext cx="67108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5DF0624-D5E1-4DA8-9FF2-73775BDACAB3}"/>
            </a:ext>
          </a:extLst>
        </xdr:cNvPr>
        <xdr:cNvSpPr txBox="1"/>
      </xdr:nvSpPr>
      <xdr:spPr>
        <a:xfrm>
          <a:off x="5810227" y="9376133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369093</xdr:colOff>
      <xdr:row>12</xdr:row>
      <xdr:rowOff>178594</xdr:rowOff>
    </xdr:from>
    <xdr:to>
      <xdr:col>9</xdr:col>
      <xdr:colOff>363991</xdr:colOff>
      <xdr:row>19</xdr:row>
      <xdr:rowOff>217374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958953" y="3036094"/>
          <a:ext cx="1876086" cy="1705655"/>
        </a:xfrm>
        <a:prstGeom prst="rect">
          <a:avLst/>
        </a:prstGeom>
      </xdr:spPr>
    </xdr:pic>
    <xdr:clientData/>
  </xdr:twoCellAnchor>
  <xdr:twoCellAnchor editAs="oneCell">
    <xdr:from>
      <xdr:col>7</xdr:col>
      <xdr:colOff>11907</xdr:colOff>
      <xdr:row>29</xdr:row>
      <xdr:rowOff>11907</xdr:rowOff>
    </xdr:from>
    <xdr:to>
      <xdr:col>9</xdr:col>
      <xdr:colOff>470298</xdr:colOff>
      <xdr:row>37</xdr:row>
      <xdr:rowOff>194987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772736-364E-46FA-A6D2-A83A31C50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173" y="7691438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345277</xdr:colOff>
      <xdr:row>36</xdr:row>
      <xdr:rowOff>154780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420FFF0-AAC0-4A35-B568-E8AB8724BE6C}"/>
            </a:ext>
          </a:extLst>
        </xdr:cNvPr>
        <xdr:cNvSpPr txBox="1"/>
      </xdr:nvSpPr>
      <xdr:spPr>
        <a:xfrm>
          <a:off x="5899543" y="9370218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371258</xdr:colOff>
      <xdr:row>12</xdr:row>
      <xdr:rowOff>166687</xdr:rowOff>
    </xdr:from>
    <xdr:to>
      <xdr:col>9</xdr:col>
      <xdr:colOff>372000</xdr:colOff>
      <xdr:row>19</xdr:row>
      <xdr:rowOff>170399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33696" y="3214687"/>
          <a:ext cx="1770011" cy="1670587"/>
        </a:xfrm>
        <a:prstGeom prst="rect">
          <a:avLst/>
        </a:prstGeom>
      </xdr:spPr>
    </xdr:pic>
    <xdr:clientData/>
  </xdr:twoCellAnchor>
  <xdr:twoCellAnchor editAs="oneCell">
    <xdr:from>
      <xdr:col>6</xdr:col>
      <xdr:colOff>470296</xdr:colOff>
      <xdr:row>28</xdr:row>
      <xdr:rowOff>232173</xdr:rowOff>
    </xdr:from>
    <xdr:to>
      <xdr:col>9</xdr:col>
      <xdr:colOff>446484</xdr:colOff>
      <xdr:row>37</xdr:row>
      <xdr:rowOff>177128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E62B12-D95D-4F79-9D56-D5256129B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2359" y="7673579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339327</xdr:colOff>
      <xdr:row>36</xdr:row>
      <xdr:rowOff>142880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784188A-E0F3-40E7-9E31-4788A3CFDE7C}"/>
            </a:ext>
          </a:extLst>
        </xdr:cNvPr>
        <xdr:cNvSpPr txBox="1"/>
      </xdr:nvSpPr>
      <xdr:spPr>
        <a:xfrm>
          <a:off x="5893593" y="9358318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369094</xdr:colOff>
      <xdr:row>12</xdr:row>
      <xdr:rowOff>154781</xdr:rowOff>
    </xdr:from>
    <xdr:to>
      <xdr:col>9</xdr:col>
      <xdr:colOff>373516</xdr:colOff>
      <xdr:row>19</xdr:row>
      <xdr:rowOff>188799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31532" y="3202781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6</xdr:col>
      <xdr:colOff>452437</xdr:colOff>
      <xdr:row>29</xdr:row>
      <xdr:rowOff>0</xdr:rowOff>
    </xdr:from>
    <xdr:to>
      <xdr:col>9</xdr:col>
      <xdr:colOff>428625</xdr:colOff>
      <xdr:row>37</xdr:row>
      <xdr:rowOff>183080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53327C-26B6-4E8F-9D35-E4083E87F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7679531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333373</xdr:colOff>
      <xdr:row>36</xdr:row>
      <xdr:rowOff>148834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A77E7F2-2388-414B-AA2E-A26223E6EE0C}"/>
            </a:ext>
          </a:extLst>
        </xdr:cNvPr>
        <xdr:cNvSpPr txBox="1"/>
      </xdr:nvSpPr>
      <xdr:spPr>
        <a:xfrm>
          <a:off x="5887639" y="9364272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369094</xdr:colOff>
      <xdr:row>12</xdr:row>
      <xdr:rowOff>119062</xdr:rowOff>
    </xdr:from>
    <xdr:to>
      <xdr:col>9</xdr:col>
      <xdr:colOff>373516</xdr:colOff>
      <xdr:row>19</xdr:row>
      <xdr:rowOff>162604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958954" y="2976562"/>
          <a:ext cx="1880848" cy="1705655"/>
        </a:xfrm>
        <a:prstGeom prst="rect">
          <a:avLst/>
        </a:prstGeom>
      </xdr:spPr>
    </xdr:pic>
    <xdr:clientData/>
  </xdr:twoCellAnchor>
  <xdr:twoCellAnchor editAs="oneCell">
    <xdr:from>
      <xdr:col>6</xdr:col>
      <xdr:colOff>464344</xdr:colOff>
      <xdr:row>29</xdr:row>
      <xdr:rowOff>1</xdr:rowOff>
    </xdr:from>
    <xdr:to>
      <xdr:col>9</xdr:col>
      <xdr:colOff>440532</xdr:colOff>
      <xdr:row>37</xdr:row>
      <xdr:rowOff>183081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20D001-F62C-4FAB-8F32-A61651DB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407" y="7679532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327420</xdr:colOff>
      <xdr:row>36</xdr:row>
      <xdr:rowOff>142878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8314045-F015-4242-9DDF-25CB6B1B3BE0}"/>
            </a:ext>
          </a:extLst>
        </xdr:cNvPr>
        <xdr:cNvSpPr txBox="1"/>
      </xdr:nvSpPr>
      <xdr:spPr>
        <a:xfrm>
          <a:off x="5881686" y="9358316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C0C8D98-BCE5-461F-BE3C-A3BABFBFA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F19AF53-D7CB-483D-8A63-FF9FBBEDF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27AD9DEC-1C77-46E4-A39F-9D8ED7B24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5972318A-8F25-490C-9C79-8E7C629D6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B4092E73-7172-4904-ACA2-3528A6CC4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DFAEBEF4-C6E4-4D5E-9D44-24234D1CE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50CBD125-A47D-42DA-A323-40D4F62E5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275A2AEB-19D8-4C37-85BC-9D2D68EB4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A1A872D9-3FB8-4972-B8E3-2A5144FCD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12</xdr:row>
      <xdr:rowOff>178594</xdr:rowOff>
    </xdr:from>
    <xdr:to>
      <xdr:col>9</xdr:col>
      <xdr:colOff>380660</xdr:colOff>
      <xdr:row>19</xdr:row>
      <xdr:rowOff>217374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43438" y="3226594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6</xdr:col>
      <xdr:colOff>482202</xdr:colOff>
      <xdr:row>28</xdr:row>
      <xdr:rowOff>232172</xdr:rowOff>
    </xdr:from>
    <xdr:to>
      <xdr:col>9</xdr:col>
      <xdr:colOff>458390</xdr:colOff>
      <xdr:row>37</xdr:row>
      <xdr:rowOff>177127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E65971-9617-4078-AE0B-376C78B0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265" y="7673578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351227</xdr:colOff>
      <xdr:row>36</xdr:row>
      <xdr:rowOff>142879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5DB9960-1FEE-471A-8735-7D71CE464AD9}"/>
            </a:ext>
          </a:extLst>
        </xdr:cNvPr>
        <xdr:cNvSpPr txBox="1"/>
      </xdr:nvSpPr>
      <xdr:spPr>
        <a:xfrm>
          <a:off x="5905493" y="9358317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369094</xdr:colOff>
      <xdr:row>12</xdr:row>
      <xdr:rowOff>154782</xdr:rowOff>
    </xdr:from>
    <xdr:to>
      <xdr:col>9</xdr:col>
      <xdr:colOff>373516</xdr:colOff>
      <xdr:row>19</xdr:row>
      <xdr:rowOff>188800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31532" y="3202782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9</xdr:col>
      <xdr:colOff>458391</xdr:colOff>
      <xdr:row>37</xdr:row>
      <xdr:rowOff>183080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5D7D8C-A52D-4E4A-9684-75221C6E5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4266" y="7679531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363135</xdr:colOff>
      <xdr:row>36</xdr:row>
      <xdr:rowOff>142880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C31C47B-4D18-4ADE-9C18-5FEFCB02AF35}"/>
            </a:ext>
          </a:extLst>
        </xdr:cNvPr>
        <xdr:cNvSpPr txBox="1"/>
      </xdr:nvSpPr>
      <xdr:spPr>
        <a:xfrm>
          <a:off x="5917401" y="9358318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392906</xdr:colOff>
      <xdr:row>12</xdr:row>
      <xdr:rowOff>142875</xdr:rowOff>
    </xdr:from>
    <xdr:to>
      <xdr:col>9</xdr:col>
      <xdr:colOff>392566</xdr:colOff>
      <xdr:row>19</xdr:row>
      <xdr:rowOff>181655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55344" y="3190875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6</xdr:col>
      <xdr:colOff>464344</xdr:colOff>
      <xdr:row>29</xdr:row>
      <xdr:rowOff>23812</xdr:rowOff>
    </xdr:from>
    <xdr:to>
      <xdr:col>9</xdr:col>
      <xdr:colOff>440532</xdr:colOff>
      <xdr:row>37</xdr:row>
      <xdr:rowOff>206892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796204-F492-433D-8FEB-C2F14D574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6407" y="7703343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315514</xdr:colOff>
      <xdr:row>36</xdr:row>
      <xdr:rowOff>172642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4FA2AF3E-A296-4CB5-AD58-DD4EB01F0CE6}"/>
            </a:ext>
          </a:extLst>
        </xdr:cNvPr>
        <xdr:cNvSpPr txBox="1"/>
      </xdr:nvSpPr>
      <xdr:spPr>
        <a:xfrm>
          <a:off x="5869780" y="9388080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380999</xdr:colOff>
      <xdr:row>12</xdr:row>
      <xdr:rowOff>166688</xdr:rowOff>
    </xdr:from>
    <xdr:to>
      <xdr:col>9</xdr:col>
      <xdr:colOff>380659</xdr:colOff>
      <xdr:row>19</xdr:row>
      <xdr:rowOff>200706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7" t="3531" r="2899" b="4888"/>
        <a:stretch/>
      </xdr:blipFill>
      <xdr:spPr>
        <a:xfrm>
          <a:off x="4643437" y="3214688"/>
          <a:ext cx="1768929" cy="1700893"/>
        </a:xfrm>
        <a:prstGeom prst="rect">
          <a:avLst/>
        </a:prstGeom>
      </xdr:spPr>
    </xdr:pic>
    <xdr:clientData/>
  </xdr:twoCellAnchor>
  <xdr:twoCellAnchor editAs="oneCell">
    <xdr:from>
      <xdr:col>6</xdr:col>
      <xdr:colOff>470297</xdr:colOff>
      <xdr:row>28</xdr:row>
      <xdr:rowOff>208358</xdr:rowOff>
    </xdr:from>
    <xdr:to>
      <xdr:col>9</xdr:col>
      <xdr:colOff>446485</xdr:colOff>
      <xdr:row>37</xdr:row>
      <xdr:rowOff>159265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7439EC-A072-46B1-8D85-5FE25651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2360" y="7637858"/>
          <a:ext cx="1375173" cy="1945205"/>
        </a:xfrm>
        <a:prstGeom prst="rect">
          <a:avLst/>
        </a:prstGeom>
      </xdr:spPr>
    </xdr:pic>
    <xdr:clientData/>
  </xdr:twoCellAnchor>
  <xdr:oneCellAnchor>
    <xdr:from>
      <xdr:col>7</xdr:col>
      <xdr:colOff>321466</xdr:colOff>
      <xdr:row>36</xdr:row>
      <xdr:rowOff>125021</xdr:rowOff>
    </xdr:from>
    <xdr:ext cx="67108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EADB7479-2993-47FC-B8BD-2D71E70F9914}"/>
            </a:ext>
          </a:extLst>
        </xdr:cNvPr>
        <xdr:cNvSpPr txBox="1"/>
      </xdr:nvSpPr>
      <xdr:spPr>
        <a:xfrm>
          <a:off x="5875732" y="9322600"/>
          <a:ext cx="6710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PE" sz="1100">
              <a:solidFill>
                <a:schemeClr val="bg1"/>
              </a:solidFill>
            </a:rPr>
            <a:t>AVIMOC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1</xdr:row>
      <xdr:rowOff>19050</xdr:rowOff>
    </xdr:from>
    <xdr:to>
      <xdr:col>22</xdr:col>
      <xdr:colOff>409574</xdr:colOff>
      <xdr:row>16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0.00845</cdr:x>
      <cdr:y>0.07278</cdr:y>
    </cdr:from>
    <cdr:to>
      <cdr:x>0.08953</cdr:x>
      <cdr:y>0.15506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7625" y="219075"/>
          <a:ext cx="4572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1100"/>
            <a:t>M3     </a:t>
          </a:r>
          <a:r>
            <a:rPr lang="es-ES" sz="1200" b="1"/>
            <a:t>2025</a:t>
          </a:r>
          <a:endParaRPr lang="es-ES" sz="1100" b="1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738188</xdr:colOff>
      <xdr:row>0</xdr:row>
      <xdr:rowOff>0</xdr:rowOff>
    </xdr:from>
    <xdr:to>
      <xdr:col>14</xdr:col>
      <xdr:colOff>202146</xdr:colOff>
      <xdr:row>8</xdr:row>
      <xdr:rowOff>71438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9A7289-A883-1AEF-C798-52A13CE8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9538" y="542925"/>
          <a:ext cx="5559958" cy="1881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386FD5EE-9239-485F-8C87-A8A23F2AD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80303E0F-AA59-4BA9-9044-0544B858C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4D12A9FB-7390-4045-93BF-0138649EB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A8AAE306-8B39-474C-82F1-701F69EF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F3C2D24E-236F-4CA6-92BB-4512BBDC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593B6486-5680-4224-8D89-277220318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D0414059-010B-470B-9B0C-81308464E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704A6FDB-0399-4572-A11F-334FF2E1E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DF139C91-87BB-4206-B6E6-399C244A3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1D6EB21-9888-4C48-9DD3-0B3DB6A81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A08D9310-4278-4926-94AF-C39E627D7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40C72DFD-299A-4299-ACC9-8EBAD54B5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C820E9DF-9F6E-41CF-BB88-1AA2A3E78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4F646E9A-0463-4E94-8A5D-01376E79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26DB6B4A-9841-4FBC-BABA-F576B3706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8977F678-DC15-4176-A392-DEED5BC16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0DB3F4FA-0C2A-4D0D-9B31-711CDCCB7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75C4AA79-9A59-461F-8250-6214CFD00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3</xdr:row>
      <xdr:rowOff>3672</xdr:rowOff>
    </xdr:from>
    <xdr:to>
      <xdr:col>4</xdr:col>
      <xdr:colOff>647700</xdr:colOff>
      <xdr:row>8</xdr:row>
      <xdr:rowOff>74538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66579D-0D1A-4783-AE0D-E95E352E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3557588" y="613272"/>
          <a:ext cx="1047750" cy="102812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>
    <xdr:from>
      <xdr:col>12</xdr:col>
      <xdr:colOff>1409700</xdr:colOff>
      <xdr:row>13</xdr:row>
      <xdr:rowOff>109538</xdr:rowOff>
    </xdr:from>
    <xdr:to>
      <xdr:col>12</xdr:col>
      <xdr:colOff>1633537</xdr:colOff>
      <xdr:row>16</xdr:row>
      <xdr:rowOff>152400</xdr:rowOff>
    </xdr:to>
    <xdr:sp macro="" textlink="">
      <xdr:nvSpPr>
        <xdr:cNvPr id="3" name="Cerrar llave 2">
          <a:extLst>
            <a:ext uri="{FF2B5EF4-FFF2-40B4-BE49-F238E27FC236}">
              <a16:creationId xmlns:a16="http://schemas.microsoft.com/office/drawing/2014/main" id="{B2B2E2E9-CE93-BA2A-3C7B-FB308CF9086B}"/>
            </a:ext>
          </a:extLst>
        </xdr:cNvPr>
        <xdr:cNvSpPr/>
      </xdr:nvSpPr>
      <xdr:spPr>
        <a:xfrm>
          <a:off x="10034588" y="2624138"/>
          <a:ext cx="223837" cy="628650"/>
        </a:xfrm>
        <a:prstGeom prst="rightBrace">
          <a:avLst>
            <a:gd name="adj1" fmla="val 8333"/>
            <a:gd name="adj2" fmla="val 35827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457200</xdr:colOff>
      <xdr:row>13</xdr:row>
      <xdr:rowOff>138110</xdr:rowOff>
    </xdr:from>
    <xdr:to>
      <xdr:col>11</xdr:col>
      <xdr:colOff>700087</xdr:colOff>
      <xdr:row>13</xdr:row>
      <xdr:rowOff>142872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1E7A2E1E-B7A8-684C-14A0-3AB4C401A757}"/>
            </a:ext>
          </a:extLst>
        </xdr:cNvPr>
        <xdr:cNvCxnSpPr/>
      </xdr:nvCxnSpPr>
      <xdr:spPr>
        <a:xfrm flipH="1" flipV="1">
          <a:off x="8320088" y="2652710"/>
          <a:ext cx="242887" cy="476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442911</xdr:colOff>
      <xdr:row>14</xdr:row>
      <xdr:rowOff>109536</xdr:rowOff>
    </xdr:from>
    <xdr:to>
      <xdr:col>11</xdr:col>
      <xdr:colOff>685798</xdr:colOff>
      <xdr:row>14</xdr:row>
      <xdr:rowOff>114298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91906AC0-41E2-457D-9F75-358DC0C511D7}"/>
            </a:ext>
          </a:extLst>
        </xdr:cNvPr>
        <xdr:cNvCxnSpPr/>
      </xdr:nvCxnSpPr>
      <xdr:spPr>
        <a:xfrm flipH="1" flipV="1">
          <a:off x="8305799" y="2819399"/>
          <a:ext cx="242887" cy="476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442910</xdr:colOff>
      <xdr:row>15</xdr:row>
      <xdr:rowOff>100015</xdr:rowOff>
    </xdr:from>
    <xdr:to>
      <xdr:col>11</xdr:col>
      <xdr:colOff>685797</xdr:colOff>
      <xdr:row>15</xdr:row>
      <xdr:rowOff>104777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83560B30-CBE5-4298-920D-FCF969B34254}"/>
            </a:ext>
          </a:extLst>
        </xdr:cNvPr>
        <xdr:cNvCxnSpPr/>
      </xdr:nvCxnSpPr>
      <xdr:spPr>
        <a:xfrm flipH="1" flipV="1">
          <a:off x="8305798" y="3005140"/>
          <a:ext cx="242887" cy="476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428617</xdr:colOff>
      <xdr:row>16</xdr:row>
      <xdr:rowOff>95256</xdr:rowOff>
    </xdr:from>
    <xdr:to>
      <xdr:col>11</xdr:col>
      <xdr:colOff>671504</xdr:colOff>
      <xdr:row>16</xdr:row>
      <xdr:rowOff>100018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F29D1B00-FC8D-40DD-B3B3-FBCDC910C26B}"/>
            </a:ext>
          </a:extLst>
        </xdr:cNvPr>
        <xdr:cNvCxnSpPr/>
      </xdr:nvCxnSpPr>
      <xdr:spPr>
        <a:xfrm flipH="1" flipV="1">
          <a:off x="8291505" y="3195644"/>
          <a:ext cx="242887" cy="476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F4BF45E-7EEA-400B-BB5C-CF2934C1A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4523B835-3BB3-4490-8DCC-99D9CB1F9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F9C9E194-C39A-4EFF-8617-1CDB69CA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D8A63179-49CF-4E0A-97B1-91550C0D0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49C65A31-9636-4AC6-B094-E17A13274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566D2565-7D34-4330-B611-8AAD94119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24F10B40-A8B3-4217-BBD2-5A11AE66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77F297F7-140F-4F87-B318-CA5843005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8F25FBBF-B43A-418D-BDAA-4D231C26D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2F9B2E10-AA66-417A-BF98-014C1336D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B16AAB6D-9F52-48C2-9EC7-358D6FFB7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8E0C2CC6-F717-4540-AA13-6833B3EC4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E244A8A3-203C-4300-8571-135AFDCDE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2F866604-C8F9-4EEB-9534-DB0320ACA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7E396419-B165-4A54-8BDC-08373F2E3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8D8F1F18-9BF6-4BDB-9901-921D0E7E3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15186006-C794-4D68-B732-784497C53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A270247D-BDB2-41FC-84C8-1A7B9E0D6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18D9790D-8CCA-4782-B95C-573426403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E2EEE47-02E2-42AF-95E1-AB8FF40C5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FD9249CD-3BE8-4BFF-A017-68A70728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CCA6EFEA-C8DD-4899-B0A0-AA1B0DC4A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34A2BC54-82DB-4D0A-98A6-AABA869D3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4A0BB76F-B32E-4DE9-9D38-EFF82A549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163AB696-5C4E-40C2-84CC-2828C3FED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68E3935A-679B-4607-9961-495E73A62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5F008133-B0CA-4A43-8543-EB11EAA9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294714</xdr:colOff>
      <xdr:row>2</xdr:row>
      <xdr:rowOff>14287</xdr:rowOff>
    </xdr:from>
    <xdr:to>
      <xdr:col>27</xdr:col>
      <xdr:colOff>664458</xdr:colOff>
      <xdr:row>21</xdr:row>
      <xdr:rowOff>180975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F0C9389F-2376-4943-AD65-F6B79C158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294155</xdr:colOff>
      <xdr:row>22</xdr:row>
      <xdr:rowOff>37951</xdr:rowOff>
    </xdr:from>
    <xdr:to>
      <xdr:col>27</xdr:col>
      <xdr:colOff>663899</xdr:colOff>
      <xdr:row>41</xdr:row>
      <xdr:rowOff>192924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06A5F062-EC81-4EB2-A6BE-D43A5200A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280147</xdr:colOff>
      <xdr:row>42</xdr:row>
      <xdr:rowOff>31326</xdr:rowOff>
    </xdr:from>
    <xdr:to>
      <xdr:col>27</xdr:col>
      <xdr:colOff>649891</xdr:colOff>
      <xdr:row>62</xdr:row>
      <xdr:rowOff>1911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4DDCA163-214D-48EF-8F4C-3CE8EA5E2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283458</xdr:colOff>
      <xdr:row>62</xdr:row>
      <xdr:rowOff>34636</xdr:rowOff>
    </xdr:from>
    <xdr:to>
      <xdr:col>27</xdr:col>
      <xdr:colOff>653202</xdr:colOff>
      <xdr:row>82</xdr:row>
      <xdr:rowOff>5221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6796228A-045F-4A7F-AB11-366C92BAF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269451</xdr:colOff>
      <xdr:row>82</xdr:row>
      <xdr:rowOff>17318</xdr:rowOff>
    </xdr:from>
    <xdr:to>
      <xdr:col>27</xdr:col>
      <xdr:colOff>639195</xdr:colOff>
      <xdr:row>101</xdr:row>
      <xdr:rowOff>184006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139B411D-FC36-4004-89ED-E47CD409C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283458</xdr:colOff>
      <xdr:row>102</xdr:row>
      <xdr:rowOff>34637</xdr:rowOff>
    </xdr:from>
    <xdr:to>
      <xdr:col>27</xdr:col>
      <xdr:colOff>653202</xdr:colOff>
      <xdr:row>122</xdr:row>
      <xdr:rowOff>5222</xdr:rowOff>
    </xdr:to>
    <xdr:graphicFrame macro="">
      <xdr:nvGraphicFramePr>
        <xdr:cNvPr id="7" name="Gráfico 8">
          <a:extLst>
            <a:ext uri="{FF2B5EF4-FFF2-40B4-BE49-F238E27FC236}">
              <a16:creationId xmlns:a16="http://schemas.microsoft.com/office/drawing/2014/main" id="{7C28A412-ACEC-4B69-9C04-D3986A0DE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280147</xdr:colOff>
      <xdr:row>122</xdr:row>
      <xdr:rowOff>20628</xdr:rowOff>
    </xdr:from>
    <xdr:to>
      <xdr:col>27</xdr:col>
      <xdr:colOff>649891</xdr:colOff>
      <xdr:row>141</xdr:row>
      <xdr:rowOff>187316</xdr:rowOff>
    </xdr:to>
    <xdr:graphicFrame macro="">
      <xdr:nvGraphicFramePr>
        <xdr:cNvPr id="8" name="Gráfico 9">
          <a:extLst>
            <a:ext uri="{FF2B5EF4-FFF2-40B4-BE49-F238E27FC236}">
              <a16:creationId xmlns:a16="http://schemas.microsoft.com/office/drawing/2014/main" id="{B0BC594C-D847-4372-8772-4E2757163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283459</xdr:colOff>
      <xdr:row>142</xdr:row>
      <xdr:rowOff>17318</xdr:rowOff>
    </xdr:from>
    <xdr:to>
      <xdr:col>27</xdr:col>
      <xdr:colOff>653203</xdr:colOff>
      <xdr:row>161</xdr:row>
      <xdr:rowOff>184006</xdr:rowOff>
    </xdr:to>
    <xdr:graphicFrame macro="">
      <xdr:nvGraphicFramePr>
        <xdr:cNvPr id="9" name="Gráfico 10">
          <a:extLst>
            <a:ext uri="{FF2B5EF4-FFF2-40B4-BE49-F238E27FC236}">
              <a16:creationId xmlns:a16="http://schemas.microsoft.com/office/drawing/2014/main" id="{47F74BDD-EE48-4657-A7B9-EDA48169F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283457</xdr:colOff>
      <xdr:row>162</xdr:row>
      <xdr:rowOff>17318</xdr:rowOff>
    </xdr:from>
    <xdr:to>
      <xdr:col>27</xdr:col>
      <xdr:colOff>653201</xdr:colOff>
      <xdr:row>181</xdr:row>
      <xdr:rowOff>184006</xdr:rowOff>
    </xdr:to>
    <xdr:graphicFrame macro="">
      <xdr:nvGraphicFramePr>
        <xdr:cNvPr id="10" name="Gráfico 11">
          <a:extLst>
            <a:ext uri="{FF2B5EF4-FFF2-40B4-BE49-F238E27FC236}">
              <a16:creationId xmlns:a16="http://schemas.microsoft.com/office/drawing/2014/main" id="{DBFE5575-F6FC-4FCC-81B5-F4F33CAF5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4%20AVIMOC/01%20CUOTA%20MANTT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ota Mes"/>
      <sheetName val="Pago Cuota MC 2024"/>
      <sheetName val="Cuota-Pago=Saldo"/>
      <sheetName val="Ene 24"/>
      <sheetName val="Feb 24"/>
      <sheetName val="Mar 24"/>
      <sheetName val="Abr 24"/>
      <sheetName val="May 24"/>
      <sheetName val="Jun 24"/>
      <sheetName val="Jul 24"/>
      <sheetName val="Ago 24"/>
      <sheetName val="Sep 24"/>
      <sheetName val="Oct 24"/>
      <sheetName val="Nov 24"/>
      <sheetName val="Dic 24"/>
      <sheetName val="A"/>
      <sheetName val="B"/>
      <sheetName val="C"/>
      <sheetName val="D"/>
      <sheetName val="E"/>
      <sheetName val="F"/>
      <sheetName val="G"/>
      <sheetName val="H"/>
      <sheetName val="I"/>
      <sheetName val="Pago Cuota MC 2023"/>
      <sheetName val="M3 Dpto"/>
      <sheetName val="Hoja1"/>
      <sheetName val="Recibo CM"/>
      <sheetName val="Recibo"/>
      <sheetName val="01 CUOTA MANTTO 2024"/>
    </sheetNames>
    <sheetDataSet>
      <sheetData sheetId="0"/>
      <sheetData sheetId="1"/>
      <sheetData sheetId="2">
        <row r="6">
          <cell r="AN6">
            <v>3.2817782200140755E-3</v>
          </cell>
        </row>
        <row r="7">
          <cell r="AN7">
            <v>-1.0387967845417734E-3</v>
          </cell>
        </row>
        <row r="8">
          <cell r="AN8">
            <v>61.841288235009529</v>
          </cell>
        </row>
        <row r="9">
          <cell r="AN9">
            <v>52.196351418373865</v>
          </cell>
        </row>
        <row r="10">
          <cell r="AN10">
            <v>-2.2899954561808045E-3</v>
          </cell>
        </row>
        <row r="11">
          <cell r="AN11">
            <v>333.07680037015695</v>
          </cell>
        </row>
        <row r="12">
          <cell r="AN12">
            <v>3.8454436418646765E-3</v>
          </cell>
        </row>
        <row r="13">
          <cell r="AN13">
            <v>-1.0509709925941024E-3</v>
          </cell>
        </row>
        <row r="14">
          <cell r="AN14">
            <v>1.3583397533238895E-3</v>
          </cell>
        </row>
        <row r="15">
          <cell r="AN15">
            <v>112.41508767626141</v>
          </cell>
        </row>
        <row r="16">
          <cell r="AN16">
            <v>-3.5199356020143568E-3</v>
          </cell>
        </row>
        <row r="17">
          <cell r="AN17">
            <v>2.1527399151182181E-3</v>
          </cell>
        </row>
        <row r="18">
          <cell r="AN18">
            <v>670.45469377269126</v>
          </cell>
        </row>
        <row r="19">
          <cell r="AN19">
            <v>35.223320216123284</v>
          </cell>
        </row>
        <row r="20">
          <cell r="AN20">
            <v>2.1445319293889042E-3</v>
          </cell>
        </row>
        <row r="21">
          <cell r="AN21">
            <v>17.288719596971532</v>
          </cell>
        </row>
        <row r="22">
          <cell r="AN22">
            <v>2.4773876205466649</v>
          </cell>
        </row>
        <row r="23">
          <cell r="AN23">
            <v>2.6666785501561208E-3</v>
          </cell>
        </row>
        <row r="24">
          <cell r="AN24">
            <v>19.949861107107949</v>
          </cell>
        </row>
        <row r="25">
          <cell r="AN25">
            <v>-1.7465006155248375E-3</v>
          </cell>
        </row>
        <row r="26">
          <cell r="AN26">
            <v>4.1722626673958985E-3</v>
          </cell>
        </row>
        <row r="27">
          <cell r="AN27">
            <v>-2.0416138868313283E-3</v>
          </cell>
        </row>
        <row r="28">
          <cell r="AN28">
            <v>-2.3698843000374836E-3</v>
          </cell>
        </row>
        <row r="29">
          <cell r="AN29">
            <v>-1.7374788182564771E-3</v>
          </cell>
        </row>
        <row r="30">
          <cell r="AN30">
            <v>3.7638673629771802E-3</v>
          </cell>
        </row>
        <row r="31">
          <cell r="AN31">
            <v>-9.3473346163364113E-4</v>
          </cell>
        </row>
        <row r="32">
          <cell r="AN32">
            <v>-2.8625987192185676E-3</v>
          </cell>
        </row>
        <row r="33">
          <cell r="AN33">
            <v>-1.5636727629271263E-3</v>
          </cell>
        </row>
        <row r="34">
          <cell r="AN34">
            <v>330.93692449364312</v>
          </cell>
        </row>
        <row r="35">
          <cell r="AN35">
            <v>-4.66225627866379E-3</v>
          </cell>
        </row>
        <row r="36">
          <cell r="AN36">
            <v>-3.0520100016246943E-3</v>
          </cell>
        </row>
        <row r="37">
          <cell r="AN37">
            <v>2.6341799915030606E-3</v>
          </cell>
        </row>
        <row r="38">
          <cell r="AN38">
            <v>240.13901849267091</v>
          </cell>
        </row>
        <row r="39">
          <cell r="AN39">
            <v>1.2648455358367414</v>
          </cell>
        </row>
        <row r="40">
          <cell r="AN40">
            <v>0.15272297868335727</v>
          </cell>
        </row>
        <row r="41">
          <cell r="AN41">
            <v>3.5353809061007269E-3</v>
          </cell>
        </row>
        <row r="42">
          <cell r="AN42">
            <v>457.057794565032</v>
          </cell>
        </row>
        <row r="43">
          <cell r="AN43">
            <v>296.664909392872</v>
          </cell>
        </row>
        <row r="44">
          <cell r="AN44">
            <v>1.1745470208097686E-3</v>
          </cell>
        </row>
        <row r="45">
          <cell r="AN45">
            <v>-3.6066011149387123E-3</v>
          </cell>
        </row>
        <row r="46">
          <cell r="AN46">
            <v>3.0028119145051164</v>
          </cell>
        </row>
        <row r="47">
          <cell r="AN47">
            <v>-3.7526920834807242E-4</v>
          </cell>
        </row>
        <row r="48">
          <cell r="AN48">
            <v>4.2449421673609322E-3</v>
          </cell>
        </row>
        <row r="49">
          <cell r="AN49">
            <v>452.19139552267637</v>
          </cell>
        </row>
        <row r="50">
          <cell r="AN50">
            <v>-1.415712564551086E-3</v>
          </cell>
        </row>
        <row r="51">
          <cell r="AN51">
            <v>287.67826712869874</v>
          </cell>
        </row>
        <row r="52">
          <cell r="AN52">
            <v>-2.6792251182428117E-3</v>
          </cell>
        </row>
        <row r="53">
          <cell r="AN53">
            <v>-4.0441290295234467E-3</v>
          </cell>
        </row>
        <row r="54">
          <cell r="AN54">
            <v>2.6077327453322141E-3</v>
          </cell>
        </row>
        <row r="55">
          <cell r="AN55">
            <v>-4.6133060295687756E-3</v>
          </cell>
        </row>
        <row r="56">
          <cell r="AN56">
            <v>0.96589833984279494</v>
          </cell>
        </row>
        <row r="57">
          <cell r="AN57">
            <v>-3.6390197134892333E-3</v>
          </cell>
        </row>
        <row r="58">
          <cell r="AN58">
            <v>3.9206867192547179E-3</v>
          </cell>
        </row>
        <row r="59">
          <cell r="AN59">
            <v>-3.2056935035598144E-3</v>
          </cell>
        </row>
        <row r="60">
          <cell r="AN60">
            <v>318.90410148595424</v>
          </cell>
        </row>
        <row r="61">
          <cell r="AN61">
            <v>18.796408122119715</v>
          </cell>
        </row>
        <row r="62">
          <cell r="AN62">
            <v>-4.4671758651588789E-3</v>
          </cell>
        </row>
        <row r="63">
          <cell r="AN63">
            <v>9.3718937307471606E-2</v>
          </cell>
        </row>
        <row r="64">
          <cell r="AN64">
            <v>95.904758887162529</v>
          </cell>
        </row>
        <row r="65">
          <cell r="AN65">
            <v>-3.8380382550258219E-3</v>
          </cell>
        </row>
        <row r="66">
          <cell r="AN66">
            <v>-2.4000201545391064E-3</v>
          </cell>
        </row>
        <row r="67">
          <cell r="AN67">
            <v>0.37146416809781613</v>
          </cell>
        </row>
        <row r="68">
          <cell r="AN68">
            <v>109.52677878596296</v>
          </cell>
        </row>
        <row r="69">
          <cell r="AN69">
            <v>33.799934262694649</v>
          </cell>
        </row>
        <row r="70">
          <cell r="AN70">
            <v>1.4294721241299158E-3</v>
          </cell>
        </row>
        <row r="71">
          <cell r="AN71">
            <v>5.1682093271665508E-5</v>
          </cell>
        </row>
        <row r="72">
          <cell r="AN72">
            <v>4.0148060541014274E-3</v>
          </cell>
        </row>
        <row r="73">
          <cell r="AN73">
            <v>1.3741052795467112E-2</v>
          </cell>
        </row>
        <row r="74">
          <cell r="AN74">
            <v>-6.3431359455989877E-4</v>
          </cell>
        </row>
        <row r="75">
          <cell r="AN75">
            <v>2.0236213663338276E-4</v>
          </cell>
        </row>
        <row r="76">
          <cell r="AN76">
            <v>-1.8328119293755663E-3</v>
          </cell>
        </row>
        <row r="77">
          <cell r="AN77">
            <v>315.86867112391161</v>
          </cell>
        </row>
        <row r="78">
          <cell r="AN78">
            <v>-4.6279709206373809E-3</v>
          </cell>
        </row>
        <row r="79">
          <cell r="AN79">
            <v>43.043363670247174</v>
          </cell>
        </row>
        <row r="80">
          <cell r="AN80">
            <v>1.2699203419401783E-3</v>
          </cell>
        </row>
        <row r="81">
          <cell r="AN81">
            <v>1.860342171994489E-3</v>
          </cell>
        </row>
        <row r="82">
          <cell r="AN82">
            <v>0.81383963734413101</v>
          </cell>
        </row>
        <row r="83">
          <cell r="AN83">
            <v>5.4250440945395439E-2</v>
          </cell>
        </row>
        <row r="84">
          <cell r="AN84">
            <v>576.69304587316924</v>
          </cell>
        </row>
        <row r="85">
          <cell r="AN85">
            <v>2.5813775672531847E-3</v>
          </cell>
        </row>
        <row r="86">
          <cell r="AN86">
            <v>365.54431104288915</v>
          </cell>
        </row>
        <row r="87">
          <cell r="AN87">
            <v>-3.4496681301448007E-3</v>
          </cell>
        </row>
        <row r="88">
          <cell r="AN88">
            <v>3.0665950412185339E-3</v>
          </cell>
        </row>
        <row r="89">
          <cell r="AN89">
            <v>2.1162788683000144E-3</v>
          </cell>
        </row>
        <row r="90">
          <cell r="AN90">
            <v>8.9637677176824582E-2</v>
          </cell>
        </row>
        <row r="91">
          <cell r="AN91">
            <v>9.1772164751091623E-5</v>
          </cell>
        </row>
        <row r="92">
          <cell r="AN92">
            <v>-3.712022141428406E-3</v>
          </cell>
        </row>
        <row r="93">
          <cell r="AN93">
            <v>7.4724608863334652E-3</v>
          </cell>
        </row>
        <row r="94">
          <cell r="AN94">
            <v>-7.3000107482812382E-4</v>
          </cell>
        </row>
        <row r="95">
          <cell r="AN95">
            <v>-2.7627703379948798E-3</v>
          </cell>
        </row>
        <row r="96">
          <cell r="AN96">
            <v>127.95326523784655</v>
          </cell>
        </row>
        <row r="97">
          <cell r="AN97">
            <v>-1.5621482108940654E-3</v>
          </cell>
        </row>
        <row r="98">
          <cell r="AN98">
            <v>-2.6609378805915185E-3</v>
          </cell>
        </row>
        <row r="99">
          <cell r="AN99">
            <v>2.0762289590834371E-3</v>
          </cell>
        </row>
        <row r="100">
          <cell r="AN100">
            <v>-4.7801944625120996E-3</v>
          </cell>
        </row>
        <row r="101">
          <cell r="AN101">
            <v>3.2850830064603542E-3</v>
          </cell>
        </row>
        <row r="102">
          <cell r="AN102">
            <v>-1.3551917447784945E-4</v>
          </cell>
        </row>
        <row r="103">
          <cell r="AN103">
            <v>2.7223565397434299</v>
          </cell>
        </row>
        <row r="104">
          <cell r="AN104">
            <v>340.39990373986581</v>
          </cell>
        </row>
        <row r="105">
          <cell r="AN105">
            <v>3.680209766457665E-3</v>
          </cell>
        </row>
        <row r="106">
          <cell r="AN106">
            <v>349.6791264749458</v>
          </cell>
        </row>
        <row r="107">
          <cell r="AN107">
            <v>0.65333102665027809</v>
          </cell>
        </row>
        <row r="108">
          <cell r="AN108">
            <v>365.82122432561187</v>
          </cell>
        </row>
        <row r="109">
          <cell r="AN109">
            <v>3.5328064403756798E-3</v>
          </cell>
        </row>
        <row r="110">
          <cell r="AN110">
            <v>4.9260013240655098E-3</v>
          </cell>
        </row>
        <row r="111">
          <cell r="AN111">
            <v>343.50364485994004</v>
          </cell>
        </row>
        <row r="112">
          <cell r="AN112">
            <v>-4.150217886262908E-3</v>
          </cell>
        </row>
        <row r="113">
          <cell r="AN113">
            <v>-4.1065495274210662E-3</v>
          </cell>
        </row>
        <row r="114">
          <cell r="AN114">
            <v>-3.7136051661263991E-3</v>
          </cell>
        </row>
        <row r="115">
          <cell r="AN115">
            <v>0.17552967174327705</v>
          </cell>
        </row>
        <row r="116">
          <cell r="AN116">
            <v>3.2797784219269488E-3</v>
          </cell>
        </row>
        <row r="117">
          <cell r="AN117">
            <v>6.9149377378607824E-4</v>
          </cell>
        </row>
        <row r="118">
          <cell r="AN118">
            <v>-3.5759328607127827E-3</v>
          </cell>
        </row>
        <row r="119">
          <cell r="AN119">
            <v>-2.1750005978447007E-3</v>
          </cell>
        </row>
        <row r="120">
          <cell r="AN120">
            <v>312.50344159297561</v>
          </cell>
        </row>
        <row r="121">
          <cell r="AN121">
            <v>945.32603116474775</v>
          </cell>
        </row>
        <row r="122">
          <cell r="AN122">
            <v>0.46507362252060602</v>
          </cell>
        </row>
        <row r="123">
          <cell r="AN123">
            <v>0.10426073336304853</v>
          </cell>
        </row>
        <row r="124">
          <cell r="AN124">
            <v>0.72450459174666548</v>
          </cell>
        </row>
        <row r="125">
          <cell r="AN125">
            <v>-9.2134606290983356E-4</v>
          </cell>
        </row>
        <row r="126">
          <cell r="AN126">
            <v>-4.8754979995919712E-3</v>
          </cell>
        </row>
        <row r="127">
          <cell r="AN127">
            <v>5.4773173490673344E-2</v>
          </cell>
        </row>
        <row r="128">
          <cell r="AN128">
            <v>330.31386334756417</v>
          </cell>
        </row>
        <row r="129">
          <cell r="AN129">
            <v>100.99200778748235</v>
          </cell>
        </row>
        <row r="130">
          <cell r="AN130">
            <v>0.55283136041617809</v>
          </cell>
        </row>
        <row r="131">
          <cell r="AN131">
            <v>-1.8851861476605336E-3</v>
          </cell>
        </row>
        <row r="132">
          <cell r="AN132">
            <v>403.7718025606855</v>
          </cell>
        </row>
        <row r="133">
          <cell r="AN133">
            <v>3.716580119714763E-3</v>
          </cell>
        </row>
        <row r="134">
          <cell r="AN134">
            <v>-1.4711784788232762E-3</v>
          </cell>
        </row>
        <row r="135">
          <cell r="AN135">
            <v>2.9172299839501648E-3</v>
          </cell>
        </row>
        <row r="136">
          <cell r="AN136">
            <v>-2.3857303481804593E-3</v>
          </cell>
        </row>
        <row r="137">
          <cell r="AN137">
            <v>2.5401753741221E-3</v>
          </cell>
        </row>
        <row r="138">
          <cell r="AN138">
            <v>0.93794361146535721</v>
          </cell>
        </row>
        <row r="139">
          <cell r="AN139">
            <v>0.14201595009313905</v>
          </cell>
        </row>
        <row r="140">
          <cell r="AN140">
            <v>-2.9180472737948548E-3</v>
          </cell>
        </row>
        <row r="141">
          <cell r="AN141">
            <v>-1.0201996535670332E-3</v>
          </cell>
        </row>
        <row r="142">
          <cell r="AN142">
            <v>1.7352766968201649E-3</v>
          </cell>
        </row>
        <row r="143">
          <cell r="AN143">
            <v>-2.9643330640283239E-4</v>
          </cell>
        </row>
        <row r="144">
          <cell r="AN144">
            <v>-3.3711040877051346E-3</v>
          </cell>
        </row>
        <row r="145">
          <cell r="AN145">
            <v>2.7767091410169087E-4</v>
          </cell>
        </row>
        <row r="146">
          <cell r="AN146">
            <v>7.7436304155753533E-4</v>
          </cell>
        </row>
        <row r="147">
          <cell r="AN147">
            <v>0.22038112245417096</v>
          </cell>
        </row>
        <row r="148">
          <cell r="AN148">
            <v>1.7556839546841729E-3</v>
          </cell>
        </row>
        <row r="149">
          <cell r="AN149">
            <v>-1.8938581742418137E-3</v>
          </cell>
        </row>
        <row r="150">
          <cell r="AN150">
            <v>1.4214717441518587E-3</v>
          </cell>
        </row>
        <row r="151">
          <cell r="AN151">
            <v>345.67245850314282</v>
          </cell>
        </row>
        <row r="152">
          <cell r="AN152">
            <v>334.69422811938665</v>
          </cell>
        </row>
        <row r="153">
          <cell r="AN153">
            <v>2.3650902534200213E-4</v>
          </cell>
        </row>
        <row r="154">
          <cell r="AN154">
            <v>3.8377683682313091E-2</v>
          </cell>
        </row>
        <row r="155">
          <cell r="AN155">
            <v>350.49874705813357</v>
          </cell>
        </row>
        <row r="156">
          <cell r="AN156">
            <v>-2.3507685989443416E-3</v>
          </cell>
        </row>
        <row r="157">
          <cell r="AN157">
            <v>3.423696392360398E-3</v>
          </cell>
        </row>
        <row r="158">
          <cell r="AN158">
            <v>36.397820089381582</v>
          </cell>
        </row>
        <row r="159">
          <cell r="AN159">
            <v>0.25052805300555292</v>
          </cell>
        </row>
        <row r="160">
          <cell r="AN160">
            <v>4.8089503945902834E-4</v>
          </cell>
        </row>
        <row r="161">
          <cell r="AN161">
            <v>-2.8324608717866795E-3</v>
          </cell>
        </row>
        <row r="162">
          <cell r="AN162">
            <v>2.3100232551769295E-3</v>
          </cell>
        </row>
        <row r="163">
          <cell r="AN163">
            <v>0.2295328008284514</v>
          </cell>
        </row>
        <row r="164">
          <cell r="AN164">
            <v>329.09258830412574</v>
          </cell>
        </row>
        <row r="165">
          <cell r="AN165">
            <v>4.5859215549626242E-3</v>
          </cell>
        </row>
        <row r="166">
          <cell r="AN166">
            <v>344.55979615582243</v>
          </cell>
        </row>
        <row r="167">
          <cell r="AN167">
            <v>151.04210098382759</v>
          </cell>
        </row>
        <row r="168">
          <cell r="AN168">
            <v>1.975671849606897E-3</v>
          </cell>
        </row>
        <row r="169">
          <cell r="AN169">
            <v>184.53539523325759</v>
          </cell>
        </row>
        <row r="170">
          <cell r="AN170">
            <v>1.1611670964177847</v>
          </cell>
        </row>
        <row r="171">
          <cell r="AN171">
            <v>231.76468586559184</v>
          </cell>
        </row>
        <row r="172">
          <cell r="AN172">
            <v>293.04339062464749</v>
          </cell>
        </row>
        <row r="173">
          <cell r="AN173">
            <v>-1.8543728193094466E-3</v>
          </cell>
        </row>
        <row r="174">
          <cell r="AN174">
            <v>-1.1804904852965592E-3</v>
          </cell>
        </row>
        <row r="175">
          <cell r="AN175">
            <v>46.976461082347669</v>
          </cell>
        </row>
        <row r="176">
          <cell r="AN176">
            <v>-4.3972142640313905E-4</v>
          </cell>
        </row>
        <row r="177">
          <cell r="AN177">
            <v>2.1569066415736415E-3</v>
          </cell>
        </row>
        <row r="178">
          <cell r="AN178">
            <v>-4.1161231904425222E-3</v>
          </cell>
        </row>
        <row r="179">
          <cell r="AN179">
            <v>-1.6284990151689271E-3</v>
          </cell>
        </row>
        <row r="180">
          <cell r="AN180">
            <v>7.7026102445643119E-4</v>
          </cell>
        </row>
        <row r="181">
          <cell r="AN181">
            <v>-1.9784332222343437E-3</v>
          </cell>
        </row>
        <row r="182">
          <cell r="AN182">
            <v>797.04487617114046</v>
          </cell>
        </row>
        <row r="183">
          <cell r="AN183">
            <v>341.61689482228013</v>
          </cell>
        </row>
        <row r="184">
          <cell r="AN184">
            <v>5.7672659465879406E-5</v>
          </cell>
        </row>
        <row r="185">
          <cell r="AN185">
            <v>401.81682330783934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3" displayName="Tabla3" ref="B5:AN185" headerRowDxfId="100" dataDxfId="99" tableBorderDxfId="98">
  <autoFilter ref="B5:AN185" xr:uid="{00000000-0009-0000-0100-000003000000}"/>
  <tableColumns count="39">
    <tableColumn id="1" xr3:uid="{00000000-0010-0000-0000-000001000000}" name="BLOCK" totalsRowLabel="Total" dataDxfId="97" totalsRowDxfId="96"/>
    <tableColumn id="2" xr3:uid="{00000000-0010-0000-0000-000002000000}" name="NRO." dataDxfId="95" totalsRowDxfId="94"/>
    <tableColumn id="3" xr3:uid="{00000000-0010-0000-0000-000003000000}" name="Cuota " dataDxfId="93">
      <calculatedColumnFormula>SUM('Ene 25'!L3)-('Pago Cuota MC 2024'!F3)</calculatedColumnFormula>
    </tableColumn>
    <tableColumn id="4" xr3:uid="{00000000-0010-0000-0000-000004000000}" name="Pago" dataDxfId="92" totalsRowDxfId="91"/>
    <tableColumn id="5" xr3:uid="{00000000-0010-0000-0000-000005000000}" name="Saldo" dataDxfId="90">
      <calculatedColumnFormula>SUM(-D6,E6)</calculatedColumnFormula>
    </tableColumn>
    <tableColumn id="6" xr3:uid="{00000000-0010-0000-0000-000006000000}" name="Cuota 2" dataDxfId="89" totalsRowDxfId="88">
      <calculatedColumnFormula>SUM('Feb 25'!L3)</calculatedColumnFormula>
    </tableColumn>
    <tableColumn id="7" xr3:uid="{00000000-0010-0000-0000-000007000000}" name="Pago3" dataDxfId="87" totalsRowDxfId="86">
      <calculatedColumnFormula>SUM('Pago Cuota MC 2025'!G3)</calculatedColumnFormula>
    </tableColumn>
    <tableColumn id="8" xr3:uid="{00000000-0010-0000-0000-000008000000}" name="Saldo4" dataDxfId="85" totalsRowDxfId="84">
      <calculatedColumnFormula>SUM(-G6,H6)+Tabla3[[#This Row],[Saldo]]</calculatedColumnFormula>
    </tableColumn>
    <tableColumn id="9" xr3:uid="{00000000-0010-0000-0000-000009000000}" name="Cuota 5" dataDxfId="83" totalsRowDxfId="82">
      <calculatedColumnFormula>SUM('Mar 25'!L3)</calculatedColumnFormula>
    </tableColumn>
    <tableColumn id="10" xr3:uid="{00000000-0010-0000-0000-00000A000000}" name="Pago6" dataDxfId="81" totalsRowDxfId="80">
      <calculatedColumnFormula>SUM('Pago Cuota MC 2025'!H3)</calculatedColumnFormula>
    </tableColumn>
    <tableColumn id="11" xr3:uid="{00000000-0010-0000-0000-00000B000000}" name="Saldo7" dataDxfId="79" totalsRowDxfId="78">
      <calculatedColumnFormula>SUM(-J6,K6)+Tabla3[[#This Row],[Saldo4]]</calculatedColumnFormula>
    </tableColumn>
    <tableColumn id="12" xr3:uid="{00000000-0010-0000-0000-00000C000000}" name="Cuota 8" dataDxfId="77" totalsRowDxfId="76">
      <calculatedColumnFormula>SUM('Abr 25'!L3)</calculatedColumnFormula>
    </tableColumn>
    <tableColumn id="13" xr3:uid="{00000000-0010-0000-0000-00000D000000}" name="Pago9" dataDxfId="75" totalsRowDxfId="74">
      <calculatedColumnFormula>SUM('Pago Cuota MC 2025'!I3)</calculatedColumnFormula>
    </tableColumn>
    <tableColumn id="14" xr3:uid="{00000000-0010-0000-0000-00000E000000}" name="Saldo13" dataDxfId="73" totalsRowDxfId="72">
      <calculatedColumnFormula>SUM(-M6,N6)+Tabla3[[#This Row],[Saldo7]]</calculatedColumnFormula>
    </tableColumn>
    <tableColumn id="15" xr3:uid="{00000000-0010-0000-0000-00000F000000}" name="Cuota 11" dataDxfId="71" totalsRowDxfId="70">
      <calculatedColumnFormula>SUM('May 25'!L3)</calculatedColumnFormula>
    </tableColumn>
    <tableColumn id="16" xr3:uid="{00000000-0010-0000-0000-000010000000}" name="Pago12" dataDxfId="69" totalsRowDxfId="68">
      <calculatedColumnFormula>SUM('Pago Cuota MC 2025'!J3)</calculatedColumnFormula>
    </tableColumn>
    <tableColumn id="17" xr3:uid="{00000000-0010-0000-0000-000011000000}" name="Saldo132" dataDxfId="67" totalsRowDxfId="66">
      <calculatedColumnFormula>SUM(-P6,Q6)+Tabla3[[#This Row],[Saldo13]]</calculatedColumnFormula>
    </tableColumn>
    <tableColumn id="18" xr3:uid="{00000000-0010-0000-0000-000012000000}" name="Cuota 14" dataDxfId="65" totalsRowDxfId="64">
      <calculatedColumnFormula>SUM('Jun 25'!L3)</calculatedColumnFormula>
    </tableColumn>
    <tableColumn id="19" xr3:uid="{00000000-0010-0000-0000-000013000000}" name="Pago15" dataDxfId="63" totalsRowDxfId="62">
      <calculatedColumnFormula>SUM('Pago Cuota MC 2025'!K3)</calculatedColumnFormula>
    </tableColumn>
    <tableColumn id="20" xr3:uid="{00000000-0010-0000-0000-000014000000}" name="Saldo16" dataDxfId="61" totalsRowDxfId="60">
      <calculatedColumnFormula>SUM(-S6,T6)+Tabla3[[#This Row],[Saldo132]]</calculatedColumnFormula>
    </tableColumn>
    <tableColumn id="21" xr3:uid="{00000000-0010-0000-0000-000015000000}" name="Cuota 17" dataDxfId="59" totalsRowDxfId="58">
      <calculatedColumnFormula>SUM('Jul 25'!L3)</calculatedColumnFormula>
    </tableColumn>
    <tableColumn id="22" xr3:uid="{00000000-0010-0000-0000-000016000000}" name="Pago152" dataDxfId="57" totalsRowDxfId="56">
      <calculatedColumnFormula>SUM('Pago Cuota MC 2025'!L3)</calculatedColumnFormula>
    </tableColumn>
    <tableColumn id="23" xr3:uid="{00000000-0010-0000-0000-000017000000}" name="Saldo19" dataDxfId="55" totalsRowDxfId="54">
      <calculatedColumnFormula>SUM(-V6,W6)+Tabla3[[#This Row],[Saldo16]]</calculatedColumnFormula>
    </tableColumn>
    <tableColumn id="24" xr3:uid="{00000000-0010-0000-0000-000018000000}" name="Cuota 20" dataDxfId="53" totalsRowDxfId="52">
      <calculatedColumnFormula>SUM('Ago 25'!L3)</calculatedColumnFormula>
    </tableColumn>
    <tableColumn id="25" xr3:uid="{00000000-0010-0000-0000-000019000000}" name="Pago21" dataDxfId="51" totalsRowDxfId="50">
      <calculatedColumnFormula>SUM('Pago Cuota MC 2025'!M3)</calculatedColumnFormula>
    </tableColumn>
    <tableColumn id="26" xr3:uid="{00000000-0010-0000-0000-00001A000000}" name="Saldo22" dataDxfId="49" totalsRowDxfId="48">
      <calculatedColumnFormula>SUM(-Y6,Z6)+Tabla3[[#This Row],[Saldo19]]</calculatedColumnFormula>
    </tableColumn>
    <tableColumn id="27" xr3:uid="{00000000-0010-0000-0000-00001B000000}" name="Cuota 23" dataDxfId="47" totalsRowDxfId="46">
      <calculatedColumnFormula>SUM('Sep 25'!L3)</calculatedColumnFormula>
    </tableColumn>
    <tableColumn id="28" xr3:uid="{00000000-0010-0000-0000-00001C000000}" name="Pago24" dataDxfId="45" totalsRowDxfId="44">
      <calculatedColumnFormula>SUM('Pago Cuota MC 2025'!N3)</calculatedColumnFormula>
    </tableColumn>
    <tableColumn id="29" xr3:uid="{00000000-0010-0000-0000-00001D000000}" name="Saldo25" dataDxfId="43" totalsRowDxfId="42">
      <calculatedColumnFormula>SUM(-AB6,AC6)+Tabla3[[#This Row],[Saldo22]]</calculatedColumnFormula>
    </tableColumn>
    <tableColumn id="30" xr3:uid="{00000000-0010-0000-0000-00001E000000}" name="Cuota 26" dataDxfId="41" totalsRowDxfId="40">
      <calculatedColumnFormula>SUM('Oct 25'!L3)</calculatedColumnFormula>
    </tableColumn>
    <tableColumn id="31" xr3:uid="{00000000-0010-0000-0000-00001F000000}" name="Pago27" dataDxfId="39" totalsRowDxfId="38">
      <calculatedColumnFormula>SUM('Pago Cuota MC 2025'!O3)</calculatedColumnFormula>
    </tableColumn>
    <tableColumn id="32" xr3:uid="{00000000-0010-0000-0000-000020000000}" name="Saldo28" dataDxfId="37" totalsRowDxfId="36">
      <calculatedColumnFormula>SUM(-AE6,AF6)+Tabla3[[#This Row],[Saldo25]]</calculatedColumnFormula>
    </tableColumn>
    <tableColumn id="33" xr3:uid="{00000000-0010-0000-0000-000021000000}" name="Cuota 29" dataDxfId="35" totalsRowDxfId="34">
      <calculatedColumnFormula>SUM('Nov 25'!L3)</calculatedColumnFormula>
    </tableColumn>
    <tableColumn id="34" xr3:uid="{00000000-0010-0000-0000-000022000000}" name="Pago30" dataDxfId="33" totalsRowDxfId="32">
      <calculatedColumnFormula>SUM('Pago Cuota MC 2025'!P3)</calculatedColumnFormula>
    </tableColumn>
    <tableColumn id="35" xr3:uid="{00000000-0010-0000-0000-000023000000}" name="Saldo31" dataDxfId="31" totalsRowDxfId="30">
      <calculatedColumnFormula>SUM(-AH6,AI6)+Tabla3[[#This Row],[Saldo28]]</calculatedColumnFormula>
    </tableColumn>
    <tableColumn id="36" xr3:uid="{00000000-0010-0000-0000-000024000000}" name="Cuota 32" dataDxfId="29" totalsRowDxfId="28">
      <calculatedColumnFormula>SUM('Dic 25'!L3)</calculatedColumnFormula>
    </tableColumn>
    <tableColumn id="37" xr3:uid="{00000000-0010-0000-0000-000025000000}" name="Pago33" dataDxfId="27" totalsRowDxfId="26">
      <calculatedColumnFormula>SUM('Pago Cuota MC 2025'!Q3)</calculatedColumnFormula>
    </tableColumn>
    <tableColumn id="38" xr3:uid="{00000000-0010-0000-0000-000026000000}" name="Saldo34" dataDxfId="25" totalsRowDxfId="24">
      <calculatedColumnFormula>SUM(-AK6,AL6)+Tabla3[[#This Row],[Saldo31]]</calculatedColumnFormula>
    </tableColumn>
    <tableColumn id="39" xr3:uid="{00000000-0010-0000-0000-000027000000}" name="Saldo Anual" totalsRowFunction="sum" dataDxfId="23">
      <calculatedColumnFormula>SUM(AM6)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busquedas.elperuano.pe/dispositivo/NL/2181939-6" TargetMode="External"/><Relationship Id="rId1" Type="http://schemas.openxmlformats.org/officeDocument/2006/relationships/hyperlink" Target="https://busquedas.elperuano.pe/dispositivo/NL/2181939-6Decreto%20Legislativo%20N&#186;%201568%20Publicado%2028/May/2023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J191"/>
  <sheetViews>
    <sheetView showGridLines="0" showZeros="0" tabSelected="1" zoomScale="60" zoomScaleNormal="60" workbookViewId="0">
      <selection activeCell="D9" sqref="D9"/>
    </sheetView>
  </sheetViews>
  <sheetFormatPr baseColWidth="10" defaultColWidth="11.3984375" defaultRowHeight="13.9" x14ac:dyDescent="0.4"/>
  <cols>
    <col min="1" max="1" width="16.3984375" style="185" customWidth="1"/>
    <col min="2" max="2" width="5.59765625" style="186" customWidth="1"/>
    <col min="3" max="3" width="6.73046875" style="185" customWidth="1"/>
    <col min="4" max="4" width="10.59765625" style="187" customWidth="1"/>
    <col min="5" max="5" width="2.265625" style="185" customWidth="1"/>
    <col min="6" max="6" width="5.59765625" style="185" customWidth="1"/>
    <col min="7" max="7" width="6.73046875" style="185" customWidth="1"/>
    <col min="8" max="8" width="10.59765625" style="185" customWidth="1"/>
    <col min="9" max="9" width="2.265625" style="185" customWidth="1"/>
    <col min="10" max="10" width="5.59765625" style="185" customWidth="1"/>
    <col min="11" max="11" width="6.73046875" style="185" customWidth="1"/>
    <col min="12" max="12" width="10.59765625" style="185" customWidth="1"/>
    <col min="13" max="13" width="2.265625" style="185" customWidth="1"/>
    <col min="14" max="14" width="5.59765625" style="185" customWidth="1"/>
    <col min="15" max="15" width="6.73046875" style="185" customWidth="1"/>
    <col min="16" max="16" width="10.59765625" style="185" customWidth="1"/>
    <col min="17" max="17" width="2.265625" style="185" customWidth="1"/>
    <col min="18" max="18" width="5.59765625" style="185" customWidth="1"/>
    <col min="19" max="19" width="6.73046875" style="185" customWidth="1"/>
    <col min="20" max="20" width="10.59765625" style="185" customWidth="1"/>
    <col min="21" max="21" width="2.265625" style="185" customWidth="1"/>
    <col min="22" max="22" width="5.59765625" style="185" customWidth="1"/>
    <col min="23" max="23" width="6.73046875" style="185" customWidth="1"/>
    <col min="24" max="24" width="10.59765625" style="185" customWidth="1"/>
    <col min="25" max="25" width="2.265625" style="185" customWidth="1"/>
    <col min="26" max="26" width="5.59765625" style="185" customWidth="1"/>
    <col min="27" max="27" width="6.73046875" style="185" customWidth="1"/>
    <col min="28" max="28" width="10.59765625" style="185" customWidth="1"/>
    <col min="29" max="29" width="2.265625" style="185" customWidth="1"/>
    <col min="30" max="30" width="5.59765625" style="185" customWidth="1"/>
    <col min="31" max="31" width="6.73046875" style="185" customWidth="1"/>
    <col min="32" max="32" width="10.59765625" style="185" customWidth="1"/>
    <col min="33" max="33" width="2.265625" style="185" customWidth="1"/>
    <col min="34" max="34" width="5.59765625" style="185" customWidth="1"/>
    <col min="35" max="35" width="6.73046875" style="185" customWidth="1"/>
    <col min="36" max="36" width="10.59765625" style="185" customWidth="1"/>
    <col min="37" max="37" width="6.265625" style="185" bestFit="1" customWidth="1"/>
    <col min="38" max="38" width="18.73046875" style="185" customWidth="1"/>
    <col min="39" max="16384" width="11.3984375" style="185"/>
  </cols>
  <sheetData>
    <row r="1" spans="2:36" ht="14.25" thickBot="1" x14ac:dyDescent="0.45"/>
    <row r="2" spans="2:36" s="230" customFormat="1" ht="48" customHeight="1" thickBot="1" x14ac:dyDescent="0.8">
      <c r="B2" s="289" t="s">
        <v>360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1"/>
    </row>
    <row r="3" spans="2:36" s="214" customFormat="1" ht="7.15" customHeight="1" x14ac:dyDescent="0.45">
      <c r="B3" s="205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</row>
    <row r="4" spans="2:36" s="211" customFormat="1" ht="15" customHeight="1" x14ac:dyDescent="0.55000000000000004">
      <c r="B4" s="292" t="s">
        <v>17</v>
      </c>
      <c r="C4" s="292"/>
      <c r="D4" s="292"/>
      <c r="E4" s="294">
        <f ca="1">TODAY()</f>
        <v>46027</v>
      </c>
      <c r="F4" s="294"/>
      <c r="G4" s="294"/>
      <c r="H4" s="294"/>
      <c r="I4" s="208"/>
      <c r="J4" s="208"/>
      <c r="N4" s="209" t="s">
        <v>12</v>
      </c>
      <c r="W4" s="295" t="s">
        <v>307</v>
      </c>
      <c r="X4" s="295"/>
      <c r="Y4" s="295"/>
      <c r="Z4" s="295"/>
      <c r="AA4" s="210">
        <v>5</v>
      </c>
      <c r="AC4" s="278" t="s">
        <v>331</v>
      </c>
      <c r="AD4" s="278"/>
      <c r="AE4" s="278"/>
      <c r="AF4" s="278"/>
      <c r="AG4" s="278"/>
      <c r="AH4" s="278"/>
      <c r="AI4" s="278"/>
      <c r="AJ4" s="278"/>
    </row>
    <row r="5" spans="2:36" s="211" customFormat="1" ht="15" customHeight="1" x14ac:dyDescent="0.55000000000000004">
      <c r="B5" s="292" t="s">
        <v>18</v>
      </c>
      <c r="C5" s="292"/>
      <c r="D5" s="292"/>
      <c r="E5" s="293">
        <f ca="1">NOW()</f>
        <v>46027.277088425923</v>
      </c>
      <c r="F5" s="293"/>
      <c r="G5" s="293"/>
      <c r="H5" s="293"/>
      <c r="AA5" s="210">
        <v>15</v>
      </c>
      <c r="AC5" s="231"/>
      <c r="AD5" s="279" t="s">
        <v>330</v>
      </c>
      <c r="AE5" s="280"/>
      <c r="AF5" s="280"/>
      <c r="AG5" s="281"/>
      <c r="AH5" s="277" t="s">
        <v>319</v>
      </c>
      <c r="AI5" s="277"/>
      <c r="AJ5" s="277"/>
    </row>
    <row r="6" spans="2:36" s="211" customFormat="1" ht="15" customHeight="1" x14ac:dyDescent="0.5">
      <c r="B6" s="207"/>
      <c r="C6" s="207"/>
      <c r="D6" s="207"/>
      <c r="E6" s="212"/>
      <c r="F6" s="212"/>
      <c r="G6" s="212" t="s">
        <v>12</v>
      </c>
      <c r="H6" s="212"/>
      <c r="O6" s="276" t="s">
        <v>12</v>
      </c>
      <c r="P6" s="276"/>
      <c r="Q6" s="276"/>
      <c r="AA6" s="210">
        <v>20</v>
      </c>
    </row>
    <row r="7" spans="2:36" s="214" customFormat="1" ht="7.15" customHeight="1" thickBot="1" x14ac:dyDescent="0.55000000000000004">
      <c r="B7" s="213"/>
      <c r="C7" s="213"/>
      <c r="D7" s="213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</row>
    <row r="8" spans="2:36" s="218" customFormat="1" ht="59.25" customHeight="1" thickBot="1" x14ac:dyDescent="0.5">
      <c r="B8" s="215" t="s">
        <v>0</v>
      </c>
      <c r="C8" s="216" t="s">
        <v>19</v>
      </c>
      <c r="D8" s="217" t="s">
        <v>264</v>
      </c>
      <c r="F8" s="215" t="s">
        <v>0</v>
      </c>
      <c r="G8" s="216" t="s">
        <v>19</v>
      </c>
      <c r="H8" s="217" t="s">
        <v>264</v>
      </c>
      <c r="J8" s="215" t="s">
        <v>0</v>
      </c>
      <c r="K8" s="216" t="s">
        <v>19</v>
      </c>
      <c r="L8" s="217" t="s">
        <v>264</v>
      </c>
      <c r="N8" s="215" t="s">
        <v>0</v>
      </c>
      <c r="O8" s="216" t="s">
        <v>19</v>
      </c>
      <c r="P8" s="217" t="s">
        <v>264</v>
      </c>
      <c r="R8" s="215" t="s">
        <v>0</v>
      </c>
      <c r="S8" s="216" t="s">
        <v>19</v>
      </c>
      <c r="T8" s="217" t="s">
        <v>264</v>
      </c>
      <c r="V8" s="215" t="s">
        <v>0</v>
      </c>
      <c r="W8" s="216" t="s">
        <v>19</v>
      </c>
      <c r="X8" s="217" t="s">
        <v>264</v>
      </c>
      <c r="Z8" s="215" t="s">
        <v>0</v>
      </c>
      <c r="AA8" s="216" t="s">
        <v>19</v>
      </c>
      <c r="AB8" s="217" t="s">
        <v>264</v>
      </c>
      <c r="AD8" s="215" t="s">
        <v>0</v>
      </c>
      <c r="AE8" s="216" t="s">
        <v>19</v>
      </c>
      <c r="AF8" s="217" t="s">
        <v>264</v>
      </c>
      <c r="AH8" s="215" t="s">
        <v>0</v>
      </c>
      <c r="AI8" s="216" t="s">
        <v>19</v>
      </c>
      <c r="AJ8" s="217" t="s">
        <v>264</v>
      </c>
    </row>
    <row r="9" spans="2:36" s="223" customFormat="1" ht="20.100000000000001" customHeight="1" x14ac:dyDescent="0.55000000000000004">
      <c r="B9" s="219" t="s">
        <v>3</v>
      </c>
      <c r="C9" s="220">
        <v>101</v>
      </c>
      <c r="D9" s="221">
        <f>SUM('Cuota-Pago=Saldo'!AN6)</f>
        <v>-5.1102475833886274E-4</v>
      </c>
      <c r="E9" s="222"/>
      <c r="F9" s="219" t="s">
        <v>4</v>
      </c>
      <c r="G9" s="220">
        <v>101</v>
      </c>
      <c r="H9" s="221">
        <f>SUM('Cuota-Pago=Saldo'!AN26)</f>
        <v>1.6020177083078124E-3</v>
      </c>
      <c r="I9" s="222"/>
      <c r="J9" s="219" t="s">
        <v>5</v>
      </c>
      <c r="K9" s="220">
        <v>101</v>
      </c>
      <c r="L9" s="221">
        <f>SUM('Cuota-Pago=Saldo'!AN46)</f>
        <v>0.34127721166237279</v>
      </c>
      <c r="M9" s="222"/>
      <c r="N9" s="219" t="s">
        <v>6</v>
      </c>
      <c r="O9" s="220">
        <v>101</v>
      </c>
      <c r="P9" s="221">
        <f>SUM('Cuota-Pago=Saldo'!AN66)</f>
        <v>-4.8767690077511361E-3</v>
      </c>
      <c r="Q9" s="222"/>
      <c r="R9" s="219" t="s">
        <v>7</v>
      </c>
      <c r="S9" s="220">
        <v>101</v>
      </c>
      <c r="T9" s="221">
        <f>SUM('Cuota-Pago=Saldo'!AN86)</f>
        <v>1.2854443980359065E-6</v>
      </c>
      <c r="U9" s="222"/>
      <c r="V9" s="219" t="s">
        <v>8</v>
      </c>
      <c r="W9" s="220">
        <v>101</v>
      </c>
      <c r="X9" s="221">
        <f>SUM('Cuota-Pago=Saldo'!AN106)</f>
        <v>-454.86760588504529</v>
      </c>
      <c r="Y9" s="222"/>
      <c r="Z9" s="219" t="s">
        <v>9</v>
      </c>
      <c r="AA9" s="220">
        <v>101</v>
      </c>
      <c r="AB9" s="221">
        <f>SUM('Cuota-Pago=Saldo'!AN126)</f>
        <v>-4.9589832648848642E-3</v>
      </c>
      <c r="AC9" s="222"/>
      <c r="AD9" s="219" t="s">
        <v>10</v>
      </c>
      <c r="AE9" s="220">
        <v>101</v>
      </c>
      <c r="AF9" s="221">
        <f>SUM('Cuota-Pago=Saldo'!AN146)</f>
        <v>-411.12482264827702</v>
      </c>
      <c r="AG9" s="222"/>
      <c r="AH9" s="219" t="s">
        <v>11</v>
      </c>
      <c r="AI9" s="220">
        <v>101</v>
      </c>
      <c r="AJ9" s="221">
        <f>SUM('Cuota-Pago=Saldo'!AN166)</f>
        <v>-415.27039734197257</v>
      </c>
    </row>
    <row r="10" spans="2:36" s="223" customFormat="1" ht="20.100000000000001" customHeight="1" x14ac:dyDescent="0.55000000000000004">
      <c r="B10" s="219" t="s">
        <v>3</v>
      </c>
      <c r="C10" s="220">
        <v>102</v>
      </c>
      <c r="D10" s="224">
        <f>SUM('Cuota-Pago=Saldo'!AN7)</f>
        <v>-548.9045997715391</v>
      </c>
      <c r="E10" s="222"/>
      <c r="F10" s="219" t="s">
        <v>4</v>
      </c>
      <c r="G10" s="220">
        <v>102</v>
      </c>
      <c r="H10" s="224">
        <f>SUM('Cuota-Pago=Saldo'!AN27)</f>
        <v>-3402.1796474143875</v>
      </c>
      <c r="I10" s="222"/>
      <c r="J10" s="219" t="s">
        <v>5</v>
      </c>
      <c r="K10" s="220">
        <v>102</v>
      </c>
      <c r="L10" s="224">
        <f>SUM('Cuota-Pago=Saldo'!AN47)</f>
        <v>-3.8739884757887921E-3</v>
      </c>
      <c r="M10" s="222"/>
      <c r="N10" s="219" t="s">
        <v>6</v>
      </c>
      <c r="O10" s="220">
        <v>102</v>
      </c>
      <c r="P10" s="224">
        <f>SUM('Cuota-Pago=Saldo'!AN67)</f>
        <v>1.3626840463416556E-3</v>
      </c>
      <c r="Q10" s="222"/>
      <c r="R10" s="219" t="s">
        <v>7</v>
      </c>
      <c r="S10" s="220">
        <v>102</v>
      </c>
      <c r="T10" s="224">
        <f>SUM('Cuota-Pago=Saldo'!AN87)</f>
        <v>-1.2429058148200056E-4</v>
      </c>
      <c r="U10" s="222"/>
      <c r="V10" s="219" t="s">
        <v>8</v>
      </c>
      <c r="W10" s="220">
        <v>102</v>
      </c>
      <c r="X10" s="224">
        <f>SUM('Cuota-Pago=Saldo'!AN107)</f>
        <v>0.50745813167185361</v>
      </c>
      <c r="Y10" s="222"/>
      <c r="Z10" s="219" t="s">
        <v>9</v>
      </c>
      <c r="AA10" s="220">
        <v>102</v>
      </c>
      <c r="AB10" s="224">
        <f>SUM('Cuota-Pago=Saldo'!AN127)</f>
        <v>-329.4316134817222</v>
      </c>
      <c r="AC10" s="222"/>
      <c r="AD10" s="219" t="s">
        <v>10</v>
      </c>
      <c r="AE10" s="220">
        <v>102</v>
      </c>
      <c r="AF10" s="224">
        <f>SUM('Cuota-Pago=Saldo'!AN147)</f>
        <v>-1.7466860862214162E-3</v>
      </c>
      <c r="AG10" s="222"/>
      <c r="AH10" s="219" t="s">
        <v>11</v>
      </c>
      <c r="AI10" s="220">
        <v>102</v>
      </c>
      <c r="AJ10" s="224">
        <f>SUM('Cuota-Pago=Saldo'!AN167)</f>
        <v>-805.26718760474739</v>
      </c>
    </row>
    <row r="11" spans="2:36" s="223" customFormat="1" ht="20.100000000000001" customHeight="1" x14ac:dyDescent="0.55000000000000004">
      <c r="B11" s="219" t="s">
        <v>3</v>
      </c>
      <c r="C11" s="220">
        <v>103</v>
      </c>
      <c r="D11" s="224">
        <f>SUM('Cuota-Pago=Saldo'!AN8)</f>
        <v>-354.76084204375979</v>
      </c>
      <c r="E11" s="222"/>
      <c r="F11" s="219" t="s">
        <v>4</v>
      </c>
      <c r="G11" s="220">
        <v>103</v>
      </c>
      <c r="H11" s="224">
        <f>SUM('Cuota-Pago=Saldo'!AN28)</f>
        <v>0.46773098365162014</v>
      </c>
      <c r="I11" s="222"/>
      <c r="J11" s="219" t="s">
        <v>5</v>
      </c>
      <c r="K11" s="220">
        <v>103</v>
      </c>
      <c r="L11" s="224">
        <f>SUM('Cuota-Pago=Saldo'!AN48)</f>
        <v>-2.7825238515220008E-3</v>
      </c>
      <c r="M11" s="222"/>
      <c r="N11" s="219" t="s">
        <v>6</v>
      </c>
      <c r="O11" s="220">
        <v>103</v>
      </c>
      <c r="P11" s="224">
        <f>SUM('Cuota-Pago=Saldo'!AN68)</f>
        <v>-835.11771895501317</v>
      </c>
      <c r="Q11" s="222"/>
      <c r="R11" s="219" t="s">
        <v>7</v>
      </c>
      <c r="S11" s="220">
        <v>103</v>
      </c>
      <c r="T11" s="224">
        <f>SUM('Cuota-Pago=Saldo'!AN88)</f>
        <v>-338.61554958183149</v>
      </c>
      <c r="U11" s="222"/>
      <c r="V11" s="219" t="s">
        <v>8</v>
      </c>
      <c r="W11" s="220">
        <v>103</v>
      </c>
      <c r="X11" s="224">
        <f>SUM('Cuota-Pago=Saldo'!AN108)</f>
        <v>-780.27289807703301</v>
      </c>
      <c r="Y11" s="222"/>
      <c r="Z11" s="219" t="s">
        <v>9</v>
      </c>
      <c r="AA11" s="220">
        <v>103</v>
      </c>
      <c r="AB11" s="224">
        <f>SUM('Cuota-Pago=Saldo'!AN128)</f>
        <v>-349.6076034805742</v>
      </c>
      <c r="AC11" s="222"/>
      <c r="AD11" s="219" t="s">
        <v>10</v>
      </c>
      <c r="AE11" s="220">
        <v>103</v>
      </c>
      <c r="AF11" s="224">
        <f>SUM('Cuota-Pago=Saldo'!AN148)</f>
        <v>2.0862402555508197E-3</v>
      </c>
      <c r="AG11" s="222"/>
      <c r="AH11" s="219" t="s">
        <v>11</v>
      </c>
      <c r="AI11" s="220">
        <v>103</v>
      </c>
      <c r="AJ11" s="224">
        <f>SUM('Cuota-Pago=Saldo'!AN168)</f>
        <v>4.7697959677179824E-3</v>
      </c>
    </row>
    <row r="12" spans="2:36" s="223" customFormat="1" ht="20.100000000000001" customHeight="1" x14ac:dyDescent="0.55000000000000004">
      <c r="B12" s="219" t="s">
        <v>3</v>
      </c>
      <c r="C12" s="220">
        <v>104</v>
      </c>
      <c r="D12" s="224">
        <f>SUM('Cuota-Pago=Saldo'!AN9)</f>
        <v>35.698635801404578</v>
      </c>
      <c r="E12" s="222"/>
      <c r="F12" s="219" t="s">
        <v>4</v>
      </c>
      <c r="G12" s="220">
        <v>104</v>
      </c>
      <c r="H12" s="224">
        <f>SUM('Cuota-Pago=Saldo'!AN29)</f>
        <v>-6.8510865513815133E-2</v>
      </c>
      <c r="I12" s="222"/>
      <c r="J12" s="219" t="s">
        <v>5</v>
      </c>
      <c r="K12" s="220">
        <v>104</v>
      </c>
      <c r="L12" s="224">
        <f>SUM('Cuota-Pago=Saldo'!AN49)</f>
        <v>-351.36497694229757</v>
      </c>
      <c r="M12" s="222"/>
      <c r="N12" s="219" t="s">
        <v>6</v>
      </c>
      <c r="O12" s="220">
        <v>104</v>
      </c>
      <c r="P12" s="224">
        <f>SUM('Cuota-Pago=Saldo'!AN69)</f>
        <v>35.979209204886729</v>
      </c>
      <c r="Q12" s="222"/>
      <c r="R12" s="219" t="s">
        <v>7</v>
      </c>
      <c r="S12" s="220">
        <v>104</v>
      </c>
      <c r="T12" s="224">
        <f>SUM('Cuota-Pago=Saldo'!AN89)</f>
        <v>-390.1285694000531</v>
      </c>
      <c r="U12" s="222"/>
      <c r="V12" s="219" t="s">
        <v>8</v>
      </c>
      <c r="W12" s="220">
        <v>104</v>
      </c>
      <c r="X12" s="224">
        <f>SUM('Cuota-Pago=Saldo'!AN109)</f>
        <v>-1.9929390399511249E-3</v>
      </c>
      <c r="Y12" s="222"/>
      <c r="Z12" s="219" t="s">
        <v>9</v>
      </c>
      <c r="AA12" s="220">
        <v>104</v>
      </c>
      <c r="AB12" s="224">
        <f>SUM('Cuota-Pago=Saldo'!AN129)</f>
        <v>-393.16699251464331</v>
      </c>
      <c r="AC12" s="222"/>
      <c r="AD12" s="219" t="s">
        <v>10</v>
      </c>
      <c r="AE12" s="220">
        <v>104</v>
      </c>
      <c r="AF12" s="224">
        <f>SUM('Cuota-Pago=Saldo'!AN149)</f>
        <v>-401.36425650250442</v>
      </c>
      <c r="AG12" s="222"/>
      <c r="AH12" s="219" t="s">
        <v>11</v>
      </c>
      <c r="AI12" s="220">
        <v>104</v>
      </c>
      <c r="AJ12" s="224">
        <f>SUM('Cuota-Pago=Saldo'!AN169)</f>
        <v>-1143.3487843726593</v>
      </c>
    </row>
    <row r="13" spans="2:36" s="223" customFormat="1" ht="20.100000000000001" customHeight="1" x14ac:dyDescent="0.55000000000000004">
      <c r="B13" s="219" t="s">
        <v>3</v>
      </c>
      <c r="C13" s="220">
        <v>201</v>
      </c>
      <c r="D13" s="224">
        <f>SUM('Cuota-Pago=Saldo'!AN10)</f>
        <v>-382.43598069565161</v>
      </c>
      <c r="E13" s="222"/>
      <c r="F13" s="219" t="s">
        <v>4</v>
      </c>
      <c r="G13" s="220">
        <v>201</v>
      </c>
      <c r="H13" s="224">
        <f>SUM('Cuota-Pago=Saldo'!AN30)</f>
        <v>-881.73389753939705</v>
      </c>
      <c r="I13" s="222"/>
      <c r="J13" s="219" t="s">
        <v>5</v>
      </c>
      <c r="K13" s="220">
        <v>201</v>
      </c>
      <c r="L13" s="224">
        <f>SUM('Cuota-Pago=Saldo'!AN50)</f>
        <v>1.6255377282732297E-3</v>
      </c>
      <c r="M13" s="222"/>
      <c r="N13" s="219" t="s">
        <v>6</v>
      </c>
      <c r="O13" s="220">
        <v>201</v>
      </c>
      <c r="P13" s="224">
        <f>SUM('Cuota-Pago=Saldo'!AN70)</f>
        <v>-369.9158720708997</v>
      </c>
      <c r="Q13" s="222"/>
      <c r="R13" s="219" t="s">
        <v>7</v>
      </c>
      <c r="S13" s="220">
        <v>201</v>
      </c>
      <c r="T13" s="224">
        <f>SUM('Cuota-Pago=Saldo'!AN90)</f>
        <v>0.20694997676207549</v>
      </c>
      <c r="U13" s="222"/>
      <c r="V13" s="219" t="s">
        <v>8</v>
      </c>
      <c r="W13" s="220">
        <v>201</v>
      </c>
      <c r="X13" s="224">
        <f>SUM('Cuota-Pago=Saldo'!AN110)</f>
        <v>3.4355122864440091E-3</v>
      </c>
      <c r="Y13" s="222"/>
      <c r="Z13" s="219" t="s">
        <v>9</v>
      </c>
      <c r="AA13" s="220">
        <v>201</v>
      </c>
      <c r="AB13" s="224">
        <f>SUM('Cuota-Pago=Saldo'!AN130)</f>
        <v>0.62850742993674658</v>
      </c>
      <c r="AC13" s="222"/>
      <c r="AD13" s="219" t="s">
        <v>10</v>
      </c>
      <c r="AE13" s="220">
        <v>201</v>
      </c>
      <c r="AF13" s="224">
        <f>SUM('Cuota-Pago=Saldo'!AN150)</f>
        <v>1.1357987981455153E-3</v>
      </c>
      <c r="AG13" s="222"/>
      <c r="AH13" s="219" t="s">
        <v>11</v>
      </c>
      <c r="AI13" s="220">
        <v>201</v>
      </c>
      <c r="AJ13" s="224">
        <f>SUM('Cuota-Pago=Saldo'!AN170)</f>
        <v>-389.62537317609923</v>
      </c>
    </row>
    <row r="14" spans="2:36" s="223" customFormat="1" ht="20.100000000000001" customHeight="1" x14ac:dyDescent="0.55000000000000004">
      <c r="B14" s="219" t="s">
        <v>3</v>
      </c>
      <c r="C14" s="220">
        <v>202</v>
      </c>
      <c r="D14" s="224">
        <f>SUM('Cuota-Pago=Saldo'!AN11)</f>
        <v>3.1226395729504475E-3</v>
      </c>
      <c r="E14" s="222"/>
      <c r="F14" s="219" t="s">
        <v>4</v>
      </c>
      <c r="G14" s="220">
        <v>202</v>
      </c>
      <c r="H14" s="224">
        <f>SUM('Cuota-Pago=Saldo'!AN31)</f>
        <v>-721.12931726912757</v>
      </c>
      <c r="I14" s="222"/>
      <c r="J14" s="219" t="s">
        <v>5</v>
      </c>
      <c r="K14" s="220">
        <v>202</v>
      </c>
      <c r="L14" s="224">
        <f>SUM('Cuota-Pago=Saldo'!AN51)</f>
        <v>-905.0486736646418</v>
      </c>
      <c r="M14" s="222"/>
      <c r="N14" s="219" t="s">
        <v>6</v>
      </c>
      <c r="O14" s="220">
        <v>202</v>
      </c>
      <c r="P14" s="224">
        <f>SUM('Cuota-Pago=Saldo'!AN71)</f>
        <v>-3.7785487156156705E-3</v>
      </c>
      <c r="Q14" s="222"/>
      <c r="R14" s="219" t="s">
        <v>7</v>
      </c>
      <c r="S14" s="220">
        <v>202</v>
      </c>
      <c r="T14" s="224">
        <f>SUM('Cuota-Pago=Saldo'!AN91)</f>
        <v>-320.6871990033448</v>
      </c>
      <c r="U14" s="222"/>
      <c r="V14" s="219" t="s">
        <v>8</v>
      </c>
      <c r="W14" s="220">
        <v>202</v>
      </c>
      <c r="X14" s="224">
        <f>SUM('Cuota-Pago=Saldo'!AN111)</f>
        <v>1.6926332870070837E-3</v>
      </c>
      <c r="Y14" s="222"/>
      <c r="Z14" s="219" t="s">
        <v>9</v>
      </c>
      <c r="AA14" s="220">
        <v>202</v>
      </c>
      <c r="AB14" s="224">
        <f>SUM('Cuota-Pago=Saldo'!AN131)</f>
        <v>1.1615010835157591E-3</v>
      </c>
      <c r="AC14" s="222"/>
      <c r="AD14" s="219" t="s">
        <v>10</v>
      </c>
      <c r="AE14" s="220">
        <v>202</v>
      </c>
      <c r="AF14" s="224">
        <f>SUM('Cuota-Pago=Saldo'!AN151)</f>
        <v>-2287.1286503815813</v>
      </c>
      <c r="AG14" s="222"/>
      <c r="AH14" s="219" t="s">
        <v>11</v>
      </c>
      <c r="AI14" s="220">
        <v>202</v>
      </c>
      <c r="AJ14" s="224">
        <f>SUM('Cuota-Pago=Saldo'!AN171)</f>
        <v>-2349.3594420127056</v>
      </c>
    </row>
    <row r="15" spans="2:36" s="223" customFormat="1" ht="20.100000000000001" customHeight="1" x14ac:dyDescent="0.55000000000000004">
      <c r="B15" s="219" t="s">
        <v>3</v>
      </c>
      <c r="C15" s="220">
        <v>203</v>
      </c>
      <c r="D15" s="224">
        <f>SUM('Cuota-Pago=Saldo'!AN12)</f>
        <v>2.3448382029300774E-3</v>
      </c>
      <c r="E15" s="222"/>
      <c r="F15" s="219" t="s">
        <v>4</v>
      </c>
      <c r="G15" s="220">
        <v>203</v>
      </c>
      <c r="H15" s="224">
        <f>SUM('Cuota-Pago=Saldo'!AN32)</f>
        <v>-362.76507350413885</v>
      </c>
      <c r="I15" s="222"/>
      <c r="J15" s="219" t="s">
        <v>5</v>
      </c>
      <c r="K15" s="220">
        <v>203</v>
      </c>
      <c r="L15" s="224">
        <f>SUM('Cuota-Pago=Saldo'!AN52)</f>
        <v>5.6344867419966249E-4</v>
      </c>
      <c r="M15" s="222"/>
      <c r="N15" s="219" t="s">
        <v>6</v>
      </c>
      <c r="O15" s="220">
        <v>203</v>
      </c>
      <c r="P15" s="224">
        <f>SUM('Cuota-Pago=Saldo'!AN72)</f>
        <v>7.3110677010390646E-4</v>
      </c>
      <c r="Q15" s="222"/>
      <c r="R15" s="219" t="s">
        <v>7</v>
      </c>
      <c r="S15" s="220">
        <v>203</v>
      </c>
      <c r="T15" s="224">
        <f>SUM('Cuota-Pago=Saldo'!AN92)</f>
        <v>-2.0070048390152806E-3</v>
      </c>
      <c r="U15" s="222"/>
      <c r="V15" s="219" t="s">
        <v>8</v>
      </c>
      <c r="W15" s="220">
        <v>203</v>
      </c>
      <c r="X15" s="224">
        <f>SUM('Cuota-Pago=Saldo'!AN112)</f>
        <v>3.7554595721189798E-3</v>
      </c>
      <c r="Y15" s="222"/>
      <c r="Z15" s="219" t="s">
        <v>9</v>
      </c>
      <c r="AA15" s="220">
        <v>203</v>
      </c>
      <c r="AB15" s="224">
        <f>SUM('Cuota-Pago=Saldo'!AN132)</f>
        <v>-796.4111105860959</v>
      </c>
      <c r="AC15" s="222"/>
      <c r="AD15" s="219" t="s">
        <v>10</v>
      </c>
      <c r="AE15" s="220">
        <v>203</v>
      </c>
      <c r="AF15" s="224">
        <f>SUM('Cuota-Pago=Saldo'!AN152)</f>
        <v>-3.7506736804289176E-3</v>
      </c>
      <c r="AG15" s="222"/>
      <c r="AH15" s="219" t="s">
        <v>11</v>
      </c>
      <c r="AI15" s="220">
        <v>203</v>
      </c>
      <c r="AJ15" s="224">
        <f>SUM('Cuota-Pago=Saldo'!AN172)</f>
        <v>-2561.7966956054715</v>
      </c>
    </row>
    <row r="16" spans="2:36" s="223" customFormat="1" ht="20.100000000000001" customHeight="1" x14ac:dyDescent="0.55000000000000004">
      <c r="B16" s="219" t="s">
        <v>3</v>
      </c>
      <c r="C16" s="220">
        <v>204</v>
      </c>
      <c r="D16" s="224">
        <f>SUM('Cuota-Pago=Saldo'!AN13)</f>
        <v>-1.2407547414454712E-3</v>
      </c>
      <c r="E16" s="222"/>
      <c r="F16" s="219" t="s">
        <v>4</v>
      </c>
      <c r="G16" s="220">
        <v>204</v>
      </c>
      <c r="H16" s="224">
        <f>SUM('Cuota-Pago=Saldo'!AN33)</f>
        <v>-375.88680347472376</v>
      </c>
      <c r="I16" s="222"/>
      <c r="J16" s="219" t="s">
        <v>5</v>
      </c>
      <c r="K16" s="220">
        <v>204</v>
      </c>
      <c r="L16" s="224">
        <f>SUM('Cuota-Pago=Saldo'!AN53)</f>
        <v>-2.230537682294198E-3</v>
      </c>
      <c r="M16" s="222"/>
      <c r="N16" s="219" t="s">
        <v>6</v>
      </c>
      <c r="O16" s="220">
        <v>204</v>
      </c>
      <c r="P16" s="224">
        <f>SUM('Cuota-Pago=Saldo'!AN73)</f>
        <v>9.3255407369952081E-4</v>
      </c>
      <c r="Q16" s="222"/>
      <c r="R16" s="219" t="s">
        <v>7</v>
      </c>
      <c r="S16" s="220">
        <v>204</v>
      </c>
      <c r="T16" s="224">
        <f>SUM('Cuota-Pago=Saldo'!AN93)</f>
        <v>-0.86774376001216069</v>
      </c>
      <c r="U16" s="222"/>
      <c r="V16" s="219" t="s">
        <v>8</v>
      </c>
      <c r="W16" s="220">
        <v>204</v>
      </c>
      <c r="X16" s="224">
        <f>SUM('Cuota-Pago=Saldo'!AN113)</f>
        <v>-397.70593316347919</v>
      </c>
      <c r="Y16" s="222"/>
      <c r="Z16" s="219" t="s">
        <v>9</v>
      </c>
      <c r="AA16" s="220">
        <v>204</v>
      </c>
      <c r="AB16" s="224">
        <f>SUM('Cuota-Pago=Saldo'!AN133)</f>
        <v>-2.0663792168988948E-3</v>
      </c>
      <c r="AC16" s="222"/>
      <c r="AD16" s="219" t="s">
        <v>10</v>
      </c>
      <c r="AE16" s="220">
        <v>204</v>
      </c>
      <c r="AF16" s="224">
        <f>SUM('Cuota-Pago=Saldo'!AN153)</f>
        <v>-8.3002162057255191E-4</v>
      </c>
      <c r="AG16" s="222"/>
      <c r="AH16" s="219" t="s">
        <v>11</v>
      </c>
      <c r="AI16" s="220">
        <v>204</v>
      </c>
      <c r="AJ16" s="224">
        <f>SUM('Cuota-Pago=Saldo'!AN173)</f>
        <v>-385.42569831160944</v>
      </c>
    </row>
    <row r="17" spans="2:36" s="223" customFormat="1" ht="20.100000000000001" customHeight="1" x14ac:dyDescent="0.55000000000000004">
      <c r="B17" s="219" t="s">
        <v>3</v>
      </c>
      <c r="C17" s="220">
        <v>301</v>
      </c>
      <c r="D17" s="224">
        <f>SUM('Cuota-Pago=Saldo'!AN14)</f>
        <v>-2960.4426613540595</v>
      </c>
      <c r="E17" s="222"/>
      <c r="F17" s="219" t="s">
        <v>4</v>
      </c>
      <c r="G17" s="220">
        <v>301</v>
      </c>
      <c r="H17" s="224">
        <f>SUM('Cuota-Pago=Saldo'!AN34)</f>
        <v>-1702.4273738561437</v>
      </c>
      <c r="I17" s="222"/>
      <c r="J17" s="219" t="s">
        <v>5</v>
      </c>
      <c r="K17" s="220">
        <v>301</v>
      </c>
      <c r="L17" s="224">
        <f>SUM('Cuota-Pago=Saldo'!AN54)</f>
        <v>0.55439759015854406</v>
      </c>
      <c r="M17" s="222"/>
      <c r="N17" s="219" t="s">
        <v>6</v>
      </c>
      <c r="O17" s="220">
        <v>301</v>
      </c>
      <c r="P17" s="224">
        <f>SUM('Cuota-Pago=Saldo'!AN74)</f>
        <v>-372.91116741318359</v>
      </c>
      <c r="Q17" s="222"/>
      <c r="R17" s="219" t="s">
        <v>7</v>
      </c>
      <c r="S17" s="220">
        <v>301</v>
      </c>
      <c r="T17" s="224">
        <f>SUM('Cuota-Pago=Saldo'!AN94)</f>
        <v>-445.52738695155693</v>
      </c>
      <c r="U17" s="222"/>
      <c r="V17" s="219" t="s">
        <v>8</v>
      </c>
      <c r="W17" s="220">
        <v>301</v>
      </c>
      <c r="X17" s="224">
        <f>SUM('Cuota-Pago=Saldo'!AN114)</f>
        <v>9.8512030797337502E-4</v>
      </c>
      <c r="Y17" s="222"/>
      <c r="Z17" s="219" t="s">
        <v>9</v>
      </c>
      <c r="AA17" s="220">
        <v>301</v>
      </c>
      <c r="AB17" s="224">
        <f>SUM('Cuota-Pago=Saldo'!AN134)</f>
        <v>-512.44717965316897</v>
      </c>
      <c r="AC17" s="222"/>
      <c r="AD17" s="219" t="s">
        <v>10</v>
      </c>
      <c r="AE17" s="220">
        <v>301</v>
      </c>
      <c r="AF17" s="224">
        <f>SUM('Cuota-Pago=Saldo'!AN154)</f>
        <v>-7.1988059465866172E-4</v>
      </c>
      <c r="AG17" s="222"/>
      <c r="AH17" s="219" t="s">
        <v>11</v>
      </c>
      <c r="AI17" s="220">
        <v>301</v>
      </c>
      <c r="AJ17" s="224">
        <f>SUM('Cuota-Pago=Saldo'!AN174)</f>
        <v>-6.6953600137367175E-3</v>
      </c>
    </row>
    <row r="18" spans="2:36" s="223" customFormat="1" ht="20.100000000000001" customHeight="1" x14ac:dyDescent="0.55000000000000004">
      <c r="B18" s="219" t="s">
        <v>3</v>
      </c>
      <c r="C18" s="220">
        <v>302</v>
      </c>
      <c r="D18" s="224">
        <f>SUM('Cuota-Pago=Saldo'!AN15)</f>
        <v>-845.05519530695256</v>
      </c>
      <c r="E18" s="222"/>
      <c r="F18" s="219" t="s">
        <v>4</v>
      </c>
      <c r="G18" s="220">
        <v>302</v>
      </c>
      <c r="H18" s="224">
        <f>SUM('Cuota-Pago=Saldo'!AN35)</f>
        <v>-1.2418761886578977E-3</v>
      </c>
      <c r="I18" s="222"/>
      <c r="J18" s="219" t="s">
        <v>5</v>
      </c>
      <c r="K18" s="220">
        <v>302</v>
      </c>
      <c r="L18" s="224">
        <f>SUM('Cuota-Pago=Saldo'!AN55)</f>
        <v>-1193.5408857283483</v>
      </c>
      <c r="M18" s="222"/>
      <c r="N18" s="219" t="s">
        <v>6</v>
      </c>
      <c r="O18" s="220">
        <v>302</v>
      </c>
      <c r="P18" s="224">
        <f>SUM('Cuota-Pago=Saldo'!AN75)</f>
        <v>2.078574486006346E-3</v>
      </c>
      <c r="Q18" s="222"/>
      <c r="R18" s="219" t="s">
        <v>7</v>
      </c>
      <c r="S18" s="220">
        <v>302</v>
      </c>
      <c r="T18" s="224">
        <f>SUM('Cuota-Pago=Saldo'!AN95)</f>
        <v>-2.2003646187158665E-3</v>
      </c>
      <c r="U18" s="222"/>
      <c r="V18" s="219" t="s">
        <v>8</v>
      </c>
      <c r="W18" s="220">
        <v>302</v>
      </c>
      <c r="X18" s="224">
        <f>SUM('Cuota-Pago=Saldo'!AN115)</f>
        <v>-932.96105763026105</v>
      </c>
      <c r="Y18" s="222"/>
      <c r="Z18" s="219" t="s">
        <v>9</v>
      </c>
      <c r="AA18" s="220">
        <v>302</v>
      </c>
      <c r="AB18" s="224">
        <f>SUM('Cuota-Pago=Saldo'!AN135)</f>
        <v>-8.088662436875893E-4</v>
      </c>
      <c r="AC18" s="222"/>
      <c r="AD18" s="219" t="s">
        <v>10</v>
      </c>
      <c r="AE18" s="220">
        <v>302</v>
      </c>
      <c r="AF18" s="224">
        <f>SUM('Cuota-Pago=Saldo'!AN155)</f>
        <v>-490.20830304104004</v>
      </c>
      <c r="AG18" s="222"/>
      <c r="AH18" s="219" t="s">
        <v>11</v>
      </c>
      <c r="AI18" s="220">
        <v>302</v>
      </c>
      <c r="AJ18" s="224">
        <f>SUM('Cuota-Pago=Saldo'!AN175)</f>
        <v>-2960.0282782514287</v>
      </c>
    </row>
    <row r="19" spans="2:36" s="223" customFormat="1" ht="20.100000000000001" customHeight="1" x14ac:dyDescent="0.55000000000000004">
      <c r="B19" s="219" t="s">
        <v>3</v>
      </c>
      <c r="C19" s="220">
        <v>303</v>
      </c>
      <c r="D19" s="224">
        <f>SUM('Cuota-Pago=Saldo'!AN16)</f>
        <v>2.3635352016526667E-4</v>
      </c>
      <c r="E19" s="222"/>
      <c r="F19" s="219" t="s">
        <v>4</v>
      </c>
      <c r="G19" s="220">
        <v>303</v>
      </c>
      <c r="H19" s="224">
        <f>SUM('Cuota-Pago=Saldo'!AN36)</f>
        <v>3.2843111639806466E-3</v>
      </c>
      <c r="I19" s="222"/>
      <c r="J19" s="219" t="s">
        <v>5</v>
      </c>
      <c r="K19" s="220">
        <v>303</v>
      </c>
      <c r="L19" s="224">
        <f>SUM('Cuota-Pago=Saldo'!AN56)</f>
        <v>-722.88685113106249</v>
      </c>
      <c r="M19" s="222"/>
      <c r="N19" s="219" t="s">
        <v>6</v>
      </c>
      <c r="O19" s="220">
        <v>303</v>
      </c>
      <c r="P19" s="224">
        <f>SUM('Cuota-Pago=Saldo'!AN76)</f>
        <v>1.9190802915431959E-3</v>
      </c>
      <c r="Q19" s="222"/>
      <c r="R19" s="219" t="s">
        <v>7</v>
      </c>
      <c r="S19" s="220">
        <v>303</v>
      </c>
      <c r="T19" s="224">
        <f>SUM('Cuota-Pago=Saldo'!AN96)</f>
        <v>-2464.9128399009287</v>
      </c>
      <c r="U19" s="222"/>
      <c r="V19" s="219" t="s">
        <v>8</v>
      </c>
      <c r="W19" s="220">
        <v>303</v>
      </c>
      <c r="X19" s="224">
        <f>SUM('Cuota-Pago=Saldo'!AN116)</f>
        <v>2.8981696917185218E-3</v>
      </c>
      <c r="Y19" s="222"/>
      <c r="Z19" s="219" t="s">
        <v>9</v>
      </c>
      <c r="AA19" s="220">
        <v>303</v>
      </c>
      <c r="AB19" s="224">
        <f>SUM('Cuota-Pago=Saldo'!AN136)</f>
        <v>-364.73297661028312</v>
      </c>
      <c r="AC19" s="222"/>
      <c r="AD19" s="219" t="s">
        <v>10</v>
      </c>
      <c r="AE19" s="220">
        <v>303</v>
      </c>
      <c r="AF19" s="224">
        <f>SUM('Cuota-Pago=Saldo'!AN156)</f>
        <v>-362.47446212718359</v>
      </c>
      <c r="AG19" s="222"/>
      <c r="AH19" s="219" t="s">
        <v>11</v>
      </c>
      <c r="AI19" s="220">
        <v>303</v>
      </c>
      <c r="AJ19" s="224">
        <f>SUM('Cuota-Pago=Saldo'!AN176)</f>
        <v>-5.7159511965210186E-4</v>
      </c>
    </row>
    <row r="20" spans="2:36" s="223" customFormat="1" ht="20.100000000000001" customHeight="1" x14ac:dyDescent="0.55000000000000004">
      <c r="B20" s="219" t="s">
        <v>3</v>
      </c>
      <c r="C20" s="220">
        <v>304</v>
      </c>
      <c r="D20" s="224">
        <f>SUM('Cuota-Pago=Saldo'!AN17)</f>
        <v>-431.24854468690097</v>
      </c>
      <c r="E20" s="222"/>
      <c r="F20" s="219" t="s">
        <v>4</v>
      </c>
      <c r="G20" s="220">
        <v>304</v>
      </c>
      <c r="H20" s="224">
        <f>SUM('Cuota-Pago=Saldo'!AN37)</f>
        <v>-2.6942768580511256E-3</v>
      </c>
      <c r="I20" s="222"/>
      <c r="J20" s="219" t="s">
        <v>5</v>
      </c>
      <c r="K20" s="220">
        <v>304</v>
      </c>
      <c r="L20" s="224">
        <f>SUM('Cuota-Pago=Saldo'!AN57)</f>
        <v>3.8779883326469644E-3</v>
      </c>
      <c r="M20" s="222"/>
      <c r="N20" s="219" t="s">
        <v>6</v>
      </c>
      <c r="O20" s="220">
        <v>304</v>
      </c>
      <c r="P20" s="224">
        <f>SUM('Cuota-Pago=Saldo'!AN77)</f>
        <v>-721.1461194361674</v>
      </c>
      <c r="Q20" s="222"/>
      <c r="R20" s="219" t="s">
        <v>7</v>
      </c>
      <c r="S20" s="220">
        <v>304</v>
      </c>
      <c r="T20" s="224">
        <f>SUM('Cuota-Pago=Saldo'!AN97)</f>
        <v>-3.6503120696806945E-3</v>
      </c>
      <c r="U20" s="222"/>
      <c r="V20" s="219" t="s">
        <v>8</v>
      </c>
      <c r="W20" s="220">
        <v>304</v>
      </c>
      <c r="X20" s="224">
        <f>SUM('Cuota-Pago=Saldo'!AN117)</f>
        <v>-14.160524665613082</v>
      </c>
      <c r="Y20" s="222"/>
      <c r="Z20" s="219" t="s">
        <v>9</v>
      </c>
      <c r="AA20" s="220">
        <v>304</v>
      </c>
      <c r="AB20" s="224">
        <f>SUM('Cuota-Pago=Saldo'!AN137)</f>
        <v>2.6438044656629245E-3</v>
      </c>
      <c r="AC20" s="222"/>
      <c r="AD20" s="219" t="s">
        <v>10</v>
      </c>
      <c r="AE20" s="220">
        <v>304</v>
      </c>
      <c r="AF20" s="224">
        <f>SUM('Cuota-Pago=Saldo'!AN157)</f>
        <v>1.5259444454045479E-3</v>
      </c>
      <c r="AG20" s="222"/>
      <c r="AH20" s="219" t="s">
        <v>11</v>
      </c>
      <c r="AI20" s="220">
        <v>304</v>
      </c>
      <c r="AJ20" s="224">
        <f>SUM('Cuota-Pago=Saldo'!AN177)</f>
        <v>-1.1470710974208487E-3</v>
      </c>
    </row>
    <row r="21" spans="2:36" s="223" customFormat="1" ht="20.100000000000001" customHeight="1" x14ac:dyDescent="0.55000000000000004">
      <c r="B21" s="219" t="s">
        <v>3</v>
      </c>
      <c r="C21" s="220">
        <v>401</v>
      </c>
      <c r="D21" s="224">
        <f>SUM('Cuota-Pago=Saldo'!AN18)</f>
        <v>-329.05189239453108</v>
      </c>
      <c r="E21" s="222"/>
      <c r="F21" s="219" t="s">
        <v>4</v>
      </c>
      <c r="G21" s="220">
        <v>401</v>
      </c>
      <c r="H21" s="224">
        <f>SUM('Cuota-Pago=Saldo'!AN38)</f>
        <v>-487.43062559716418</v>
      </c>
      <c r="I21" s="222"/>
      <c r="J21" s="219" t="s">
        <v>5</v>
      </c>
      <c r="K21" s="220">
        <v>401</v>
      </c>
      <c r="L21" s="224">
        <f>SUM('Cuota-Pago=Saldo'!AN58)</f>
        <v>4.476990694683991E-3</v>
      </c>
      <c r="M21" s="222"/>
      <c r="N21" s="219" t="s">
        <v>6</v>
      </c>
      <c r="O21" s="220">
        <v>401</v>
      </c>
      <c r="P21" s="224">
        <f>SUM('Cuota-Pago=Saldo'!AN78)</f>
        <v>-4.913992027866243E-3</v>
      </c>
      <c r="Q21" s="222"/>
      <c r="R21" s="219" t="s">
        <v>7</v>
      </c>
      <c r="S21" s="220">
        <v>401</v>
      </c>
      <c r="T21" s="224">
        <f>SUM('Cuota-Pago=Saldo'!AN98)</f>
        <v>3.8246556389935904E-3</v>
      </c>
      <c r="U21" s="222"/>
      <c r="V21" s="219" t="s">
        <v>8</v>
      </c>
      <c r="W21" s="220">
        <v>401</v>
      </c>
      <c r="X21" s="224">
        <f>SUM('Cuota-Pago=Saldo'!AN118)</f>
        <v>-379.7098626996534</v>
      </c>
      <c r="Y21" s="222"/>
      <c r="Z21" s="219" t="s">
        <v>9</v>
      </c>
      <c r="AA21" s="220">
        <v>401</v>
      </c>
      <c r="AB21" s="224">
        <f>SUM('Cuota-Pago=Saldo'!AN138)</f>
        <v>0.43294254090676532</v>
      </c>
      <c r="AC21" s="222"/>
      <c r="AD21" s="219" t="s">
        <v>10</v>
      </c>
      <c r="AE21" s="220">
        <v>401</v>
      </c>
      <c r="AF21" s="224">
        <f>SUM('Cuota-Pago=Saldo'!AN158)</f>
        <v>1.3853341120011464E-3</v>
      </c>
      <c r="AG21" s="222"/>
      <c r="AH21" s="219" t="s">
        <v>11</v>
      </c>
      <c r="AI21" s="220">
        <v>401</v>
      </c>
      <c r="AJ21" s="224">
        <f>SUM('Cuota-Pago=Saldo'!AN178)</f>
        <v>599.99935888553705</v>
      </c>
    </row>
    <row r="22" spans="2:36" s="223" customFormat="1" ht="20.100000000000001" customHeight="1" x14ac:dyDescent="0.55000000000000004">
      <c r="B22" s="219" t="s">
        <v>3</v>
      </c>
      <c r="C22" s="220">
        <v>402</v>
      </c>
      <c r="D22" s="224">
        <f>SUM('Cuota-Pago=Saldo'!AN19)</f>
        <v>0.55935953125487003</v>
      </c>
      <c r="E22" s="222"/>
      <c r="F22" s="219" t="s">
        <v>4</v>
      </c>
      <c r="G22" s="220">
        <v>402</v>
      </c>
      <c r="H22" s="224">
        <f>SUM('Cuota-Pago=Saldo'!AN39)</f>
        <v>0.93816814509773394</v>
      </c>
      <c r="I22" s="222"/>
      <c r="J22" s="219" t="s">
        <v>5</v>
      </c>
      <c r="K22" s="220">
        <v>402</v>
      </c>
      <c r="L22" s="224">
        <f>SUM('Cuota-Pago=Saldo'!AN59)</f>
        <v>-344.26532581085854</v>
      </c>
      <c r="M22" s="222"/>
      <c r="N22" s="219" t="s">
        <v>6</v>
      </c>
      <c r="O22" s="220">
        <v>402</v>
      </c>
      <c r="P22" s="224">
        <f>SUM('Cuota-Pago=Saldo'!AN79)</f>
        <v>-1720.0479312405937</v>
      </c>
      <c r="Q22" s="222"/>
      <c r="R22" s="219" t="s">
        <v>7</v>
      </c>
      <c r="S22" s="220">
        <v>402</v>
      </c>
      <c r="T22" s="224">
        <f>SUM('Cuota-Pago=Saldo'!AN99)</f>
        <v>-2.2939398399444144E-3</v>
      </c>
      <c r="U22" s="222"/>
      <c r="V22" s="219" t="s">
        <v>8</v>
      </c>
      <c r="W22" s="220">
        <v>402</v>
      </c>
      <c r="X22" s="224">
        <f>SUM('Cuota-Pago=Saldo'!AN119)</f>
        <v>-4.7645616168097149E-3</v>
      </c>
      <c r="Y22" s="222"/>
      <c r="Z22" s="219" t="s">
        <v>9</v>
      </c>
      <c r="AA22" s="220">
        <v>402</v>
      </c>
      <c r="AB22" s="224">
        <f>SUM('Cuota-Pago=Saldo'!AN139)</f>
        <v>-3.1321341172088069E-3</v>
      </c>
      <c r="AC22" s="222"/>
      <c r="AD22" s="219" t="s">
        <v>10</v>
      </c>
      <c r="AE22" s="220">
        <v>402</v>
      </c>
      <c r="AF22" s="224">
        <f>SUM('Cuota-Pago=Saldo'!AN159)</f>
        <v>8.0587449303948233E-4</v>
      </c>
      <c r="AG22" s="222"/>
      <c r="AH22" s="219" t="s">
        <v>11</v>
      </c>
      <c r="AI22" s="220">
        <v>402</v>
      </c>
      <c r="AJ22" s="224">
        <f>SUM('Cuota-Pago=Saldo'!AN179)</f>
        <v>-356.09514306770291</v>
      </c>
    </row>
    <row r="23" spans="2:36" s="223" customFormat="1" ht="20.100000000000001" customHeight="1" x14ac:dyDescent="0.55000000000000004">
      <c r="B23" s="225" t="s">
        <v>3</v>
      </c>
      <c r="C23" s="226">
        <v>403</v>
      </c>
      <c r="D23" s="224">
        <f>SUM('Cuota-Pago=Saldo'!AN20)</f>
        <v>-2.8775468655339864E-3</v>
      </c>
      <c r="E23" s="222"/>
      <c r="F23" s="219" t="s">
        <v>4</v>
      </c>
      <c r="G23" s="226">
        <v>403</v>
      </c>
      <c r="H23" s="224">
        <f>SUM('Cuota-Pago=Saldo'!AN40)</f>
        <v>0.32614991750091349</v>
      </c>
      <c r="I23" s="222"/>
      <c r="J23" s="219" t="s">
        <v>5</v>
      </c>
      <c r="K23" s="226">
        <v>403</v>
      </c>
      <c r="L23" s="224">
        <f>SUM('Cuota-Pago=Saldo'!AN60)</f>
        <v>-783.09832784697585</v>
      </c>
      <c r="M23" s="222"/>
      <c r="N23" s="219" t="s">
        <v>6</v>
      </c>
      <c r="O23" s="226">
        <v>403</v>
      </c>
      <c r="P23" s="224">
        <f>SUM('Cuota-Pago=Saldo'!AN80)</f>
        <v>-37.308580084626044</v>
      </c>
      <c r="Q23" s="222"/>
      <c r="R23" s="219" t="s">
        <v>7</v>
      </c>
      <c r="S23" s="226">
        <v>403</v>
      </c>
      <c r="T23" s="224">
        <f>SUM('Cuota-Pago=Saldo'!AN100)</f>
        <v>-3.4120872890071041E-3</v>
      </c>
      <c r="U23" s="222"/>
      <c r="V23" s="219" t="s">
        <v>8</v>
      </c>
      <c r="W23" s="226">
        <v>403</v>
      </c>
      <c r="X23" s="224">
        <f>SUM('Cuota-Pago=Saldo'!AN120)</f>
        <v>-991.72464897937243</v>
      </c>
      <c r="Y23" s="222"/>
      <c r="Z23" s="219" t="s">
        <v>9</v>
      </c>
      <c r="AA23" s="226">
        <v>403</v>
      </c>
      <c r="AB23" s="224">
        <f>SUM('Cuota-Pago=Saldo'!AN140)</f>
        <v>-405.19807947341423</v>
      </c>
      <c r="AC23" s="222"/>
      <c r="AD23" s="219" t="s">
        <v>10</v>
      </c>
      <c r="AE23" s="226">
        <v>403</v>
      </c>
      <c r="AF23" s="224">
        <f>SUM('Cuota-Pago=Saldo'!AN160)</f>
        <v>-410.66940114814702</v>
      </c>
      <c r="AG23" s="222"/>
      <c r="AH23" s="219" t="s">
        <v>11</v>
      </c>
      <c r="AI23" s="226">
        <v>403</v>
      </c>
      <c r="AJ23" s="224">
        <f>SUM('Cuota-Pago=Saldo'!AN180)</f>
        <v>0.69109323953165358</v>
      </c>
    </row>
    <row r="24" spans="2:36" s="223" customFormat="1" ht="20.100000000000001" customHeight="1" x14ac:dyDescent="0.55000000000000004">
      <c r="B24" s="219" t="s">
        <v>3</v>
      </c>
      <c r="C24" s="220">
        <v>404</v>
      </c>
      <c r="D24" s="224">
        <f>SUM('Cuota-Pago=Saldo'!AN21)</f>
        <v>-12.377919589657949</v>
      </c>
      <c r="E24" s="222"/>
      <c r="F24" s="219" t="s">
        <v>4</v>
      </c>
      <c r="G24" s="220">
        <v>404</v>
      </c>
      <c r="H24" s="224">
        <f>SUM('Cuota-Pago=Saldo'!AN41)</f>
        <v>-415.2713642313812</v>
      </c>
      <c r="I24" s="222"/>
      <c r="J24" s="219" t="s">
        <v>5</v>
      </c>
      <c r="K24" s="220">
        <v>404</v>
      </c>
      <c r="L24" s="224">
        <f>SUM('Cuota-Pago=Saldo'!AN61)</f>
        <v>0.15834547706413105</v>
      </c>
      <c r="M24" s="222"/>
      <c r="N24" s="219" t="s">
        <v>6</v>
      </c>
      <c r="O24" s="220">
        <v>404</v>
      </c>
      <c r="P24" s="224">
        <f>SUM('Cuota-Pago=Saldo'!AN81)</f>
        <v>-0.133870760603088</v>
      </c>
      <c r="Q24" s="222"/>
      <c r="R24" s="219" t="s">
        <v>7</v>
      </c>
      <c r="S24" s="220">
        <v>404</v>
      </c>
      <c r="T24" s="224">
        <f>SUM('Cuota-Pago=Saldo'!AN101)</f>
        <v>-3.2402337402572812E-3</v>
      </c>
      <c r="U24" s="222"/>
      <c r="V24" s="219" t="s">
        <v>8</v>
      </c>
      <c r="W24" s="220">
        <v>404</v>
      </c>
      <c r="X24" s="224">
        <f>SUM('Cuota-Pago=Saldo'!AN121)</f>
        <v>-674.06569587372951</v>
      </c>
      <c r="Y24" s="222"/>
      <c r="Z24" s="219" t="s">
        <v>9</v>
      </c>
      <c r="AA24" s="220">
        <v>404</v>
      </c>
      <c r="AB24" s="224">
        <f>SUM('Cuota-Pago=Saldo'!AN141)</f>
        <v>-6.1138738641375312E-4</v>
      </c>
      <c r="AC24" s="222"/>
      <c r="AD24" s="219" t="s">
        <v>10</v>
      </c>
      <c r="AE24" s="220">
        <v>404</v>
      </c>
      <c r="AF24" s="224">
        <f>SUM('Cuota-Pago=Saldo'!AN161)</f>
        <v>-492.08944657813606</v>
      </c>
      <c r="AG24" s="222"/>
      <c r="AH24" s="219" t="s">
        <v>11</v>
      </c>
      <c r="AI24" s="220">
        <v>404</v>
      </c>
      <c r="AJ24" s="224">
        <f>SUM('Cuota-Pago=Saldo'!AN181)</f>
        <v>-797.28150748087717</v>
      </c>
    </row>
    <row r="25" spans="2:36" s="223" customFormat="1" ht="20.100000000000001" customHeight="1" x14ac:dyDescent="0.55000000000000004">
      <c r="B25" s="219" t="s">
        <v>3</v>
      </c>
      <c r="C25" s="220">
        <v>501</v>
      </c>
      <c r="D25" s="224">
        <f>SUM('Cuota-Pago=Saldo'!AN22)</f>
        <v>-409.25344865571498</v>
      </c>
      <c r="E25" s="222"/>
      <c r="F25" s="219" t="s">
        <v>4</v>
      </c>
      <c r="G25" s="220">
        <v>501</v>
      </c>
      <c r="H25" s="224">
        <f>SUM('Cuota-Pago=Saldo'!AN42)</f>
        <v>-1090.7676517183697</v>
      </c>
      <c r="I25" s="222"/>
      <c r="J25" s="219" t="s">
        <v>5</v>
      </c>
      <c r="K25" s="220">
        <v>501</v>
      </c>
      <c r="L25" s="224">
        <f>SUM('Cuota-Pago=Saldo'!AN62)</f>
        <v>0.99693087246095047</v>
      </c>
      <c r="M25" s="222"/>
      <c r="N25" s="219" t="s">
        <v>6</v>
      </c>
      <c r="O25" s="220">
        <v>501</v>
      </c>
      <c r="P25" s="224">
        <f>SUM('Cuota-Pago=Saldo'!AN82)</f>
        <v>1.0386354627021888</v>
      </c>
      <c r="Q25" s="222"/>
      <c r="R25" s="219" t="s">
        <v>7</v>
      </c>
      <c r="S25" s="220">
        <v>501</v>
      </c>
      <c r="T25" s="224">
        <f>SUM('Cuota-Pago=Saldo'!AN102)</f>
        <v>1.8228190135801015E-2</v>
      </c>
      <c r="U25" s="222"/>
      <c r="V25" s="219" t="s">
        <v>8</v>
      </c>
      <c r="W25" s="220">
        <v>501</v>
      </c>
      <c r="X25" s="224">
        <f>SUM('Cuota-Pago=Saldo'!AN122)</f>
        <v>4.1979788393291528E-3</v>
      </c>
      <c r="Y25" s="222"/>
      <c r="Z25" s="219" t="s">
        <v>9</v>
      </c>
      <c r="AA25" s="220">
        <v>501</v>
      </c>
      <c r="AB25" s="224">
        <f>SUM('Cuota-Pago=Saldo'!AN142)</f>
        <v>-7.5175339389943474E-4</v>
      </c>
      <c r="AC25" s="222"/>
      <c r="AD25" s="219" t="s">
        <v>10</v>
      </c>
      <c r="AE25" s="220">
        <v>501</v>
      </c>
      <c r="AF25" s="224">
        <f>SUM('Cuota-Pago=Saldo'!AN162)</f>
        <v>-765.12769338565352</v>
      </c>
      <c r="AG25" s="222"/>
      <c r="AH25" s="219" t="s">
        <v>11</v>
      </c>
      <c r="AI25" s="220">
        <v>501</v>
      </c>
      <c r="AJ25" s="224">
        <f>SUM('Cuota-Pago=Saldo'!AN182)</f>
        <v>-3341.8210919952994</v>
      </c>
    </row>
    <row r="26" spans="2:36" s="223" customFormat="1" ht="20.100000000000001" customHeight="1" x14ac:dyDescent="0.55000000000000004">
      <c r="B26" s="225" t="s">
        <v>3</v>
      </c>
      <c r="C26" s="220">
        <v>502</v>
      </c>
      <c r="D26" s="224">
        <f>SUM('Cuota-Pago=Saldo'!AN23)</f>
        <v>-1.886658511011774E-3</v>
      </c>
      <c r="E26" s="222"/>
      <c r="F26" s="219" t="s">
        <v>4</v>
      </c>
      <c r="G26" s="220">
        <v>502</v>
      </c>
      <c r="H26" s="224">
        <f>SUM('Cuota-Pago=Saldo'!AN43)</f>
        <v>-387.97182031901264</v>
      </c>
      <c r="I26" s="222"/>
      <c r="J26" s="219" t="s">
        <v>5</v>
      </c>
      <c r="K26" s="220">
        <v>502</v>
      </c>
      <c r="L26" s="224">
        <f>SUM('Cuota-Pago=Saldo'!AN63)</f>
        <v>-380.08766673156452</v>
      </c>
      <c r="M26" s="222"/>
      <c r="N26" s="219" t="s">
        <v>6</v>
      </c>
      <c r="O26" s="220">
        <v>502</v>
      </c>
      <c r="P26" s="224">
        <f>SUM('Cuota-Pago=Saldo'!AN83)</f>
        <v>0.14804453152464703</v>
      </c>
      <c r="Q26" s="222"/>
      <c r="R26" s="219" t="s">
        <v>7</v>
      </c>
      <c r="S26" s="220">
        <v>502</v>
      </c>
      <c r="T26" s="224">
        <f>SUM('Cuota-Pago=Saldo'!AN103)</f>
        <v>0.44748498292034355</v>
      </c>
      <c r="U26" s="222"/>
      <c r="V26" s="219" t="s">
        <v>8</v>
      </c>
      <c r="W26" s="220">
        <v>502</v>
      </c>
      <c r="X26" s="224">
        <f>SUM('Cuota-Pago=Saldo'!AN123)</f>
        <v>-1.6757529721189712E-3</v>
      </c>
      <c r="Y26" s="222"/>
      <c r="Z26" s="219" t="s">
        <v>9</v>
      </c>
      <c r="AA26" s="220">
        <v>502</v>
      </c>
      <c r="AB26" s="224">
        <f>SUM('Cuota-Pago=Saldo'!AN143)</f>
        <v>-347.31457086933568</v>
      </c>
      <c r="AC26" s="222"/>
      <c r="AD26" s="219" t="s">
        <v>10</v>
      </c>
      <c r="AE26" s="220">
        <v>502</v>
      </c>
      <c r="AF26" s="224">
        <f>SUM('Cuota-Pago=Saldo'!AN163)</f>
        <v>301.68309513653139</v>
      </c>
      <c r="AG26" s="222"/>
      <c r="AH26" s="219" t="s">
        <v>11</v>
      </c>
      <c r="AI26" s="220">
        <v>502</v>
      </c>
      <c r="AJ26" s="224">
        <f>SUM('Cuota-Pago=Saldo'!AN183)</f>
        <v>-396.71181346520279</v>
      </c>
    </row>
    <row r="27" spans="2:36" s="223" customFormat="1" ht="20.100000000000001" customHeight="1" x14ac:dyDescent="0.55000000000000004">
      <c r="B27" s="219" t="s">
        <v>3</v>
      </c>
      <c r="C27" s="220">
        <v>503</v>
      </c>
      <c r="D27" s="224">
        <f>SUM('Cuota-Pago=Saldo'!AN24)</f>
        <v>330.56486860805279</v>
      </c>
      <c r="E27" s="222"/>
      <c r="F27" s="219" t="s">
        <v>4</v>
      </c>
      <c r="G27" s="220">
        <v>503</v>
      </c>
      <c r="H27" s="224">
        <f>SUM('Cuota-Pago=Saldo'!AN44)</f>
        <v>-1653.2754193159171</v>
      </c>
      <c r="I27" s="222"/>
      <c r="J27" s="219" t="s">
        <v>5</v>
      </c>
      <c r="K27" s="220">
        <v>503</v>
      </c>
      <c r="L27" s="224">
        <f>SUM('Cuota-Pago=Saldo'!AN64)</f>
        <v>5.9120715401945745E-3</v>
      </c>
      <c r="M27" s="222"/>
      <c r="N27" s="219" t="s">
        <v>6</v>
      </c>
      <c r="O27" s="220">
        <v>503</v>
      </c>
      <c r="P27" s="224">
        <f>SUM('Cuota-Pago=Saldo'!AN84)</f>
        <v>5.4937664856424817E-4</v>
      </c>
      <c r="Q27" s="222"/>
      <c r="R27" s="219" t="s">
        <v>7</v>
      </c>
      <c r="S27" s="220">
        <v>503</v>
      </c>
      <c r="T27" s="224">
        <f>SUM('Cuota-Pago=Saldo'!AN104)</f>
        <v>-1098.442281655301</v>
      </c>
      <c r="U27" s="222"/>
      <c r="V27" s="219" t="s">
        <v>8</v>
      </c>
      <c r="W27" s="220">
        <v>503</v>
      </c>
      <c r="X27" s="224">
        <f>SUM('Cuota-Pago=Saldo'!AN124)</f>
        <v>-372.98585329368865</v>
      </c>
      <c r="Y27" s="222"/>
      <c r="Z27" s="219" t="s">
        <v>9</v>
      </c>
      <c r="AA27" s="220">
        <v>503</v>
      </c>
      <c r="AB27" s="224">
        <f>SUM('Cuota-Pago=Saldo'!AN144)</f>
        <v>-369.32642530081944</v>
      </c>
      <c r="AC27" s="222"/>
      <c r="AD27" s="219" t="s">
        <v>10</v>
      </c>
      <c r="AE27" s="220">
        <v>503</v>
      </c>
      <c r="AF27" s="224">
        <f>SUM('Cuota-Pago=Saldo'!AN164)</f>
        <v>-390.8321196095402</v>
      </c>
      <c r="AG27" s="222"/>
      <c r="AH27" s="219" t="s">
        <v>11</v>
      </c>
      <c r="AI27" s="220">
        <v>503</v>
      </c>
      <c r="AJ27" s="224">
        <f>SUM('Cuota-Pago=Saldo'!AN184)</f>
        <v>-382.88285915249992</v>
      </c>
    </row>
    <row r="28" spans="2:36" s="223" customFormat="1" ht="20.100000000000001" customHeight="1" thickBot="1" x14ac:dyDescent="0.6">
      <c r="B28" s="227" t="s">
        <v>3</v>
      </c>
      <c r="C28" s="228">
        <v>504</v>
      </c>
      <c r="D28" s="229">
        <f>SUM('Cuota-Pago=Saldo'!AN25)</f>
        <v>-5.2080636692153348E-6</v>
      </c>
      <c r="E28" s="222"/>
      <c r="F28" s="227" t="s">
        <v>4</v>
      </c>
      <c r="G28" s="228">
        <v>504</v>
      </c>
      <c r="H28" s="229">
        <f>SUM('Cuota-Pago=Saldo'!AN45)</f>
        <v>4.4036806011717999E-3</v>
      </c>
      <c r="I28" s="222"/>
      <c r="J28" s="227" t="s">
        <v>5</v>
      </c>
      <c r="K28" s="228">
        <v>504</v>
      </c>
      <c r="L28" s="229">
        <f>SUM('Cuota-Pago=Saldo'!AN65)</f>
        <v>-4.5095896064140106E-4</v>
      </c>
      <c r="M28" s="222"/>
      <c r="N28" s="227" t="s">
        <v>6</v>
      </c>
      <c r="O28" s="228">
        <v>504</v>
      </c>
      <c r="P28" s="229">
        <f>SUM('Cuota-Pago=Saldo'!AN85)</f>
        <v>1.8596791892377951E-3</v>
      </c>
      <c r="Q28" s="222"/>
      <c r="R28" s="227" t="s">
        <v>7</v>
      </c>
      <c r="S28" s="228">
        <v>504</v>
      </c>
      <c r="T28" s="229">
        <f>SUM('Cuota-Pago=Saldo'!AN105)</f>
        <v>-1.4761178817934706E-4</v>
      </c>
      <c r="U28" s="222"/>
      <c r="V28" s="227" t="s">
        <v>8</v>
      </c>
      <c r="W28" s="228">
        <v>504</v>
      </c>
      <c r="X28" s="229">
        <f>SUM('Cuota-Pago=Saldo'!AN125)</f>
        <v>-442.96498594386861</v>
      </c>
      <c r="Y28" s="222"/>
      <c r="Z28" s="227" t="s">
        <v>9</v>
      </c>
      <c r="AA28" s="228">
        <v>504</v>
      </c>
      <c r="AB28" s="229">
        <f>SUM('Cuota-Pago=Saldo'!AN145)</f>
        <v>-350.05378506512051</v>
      </c>
      <c r="AC28" s="222"/>
      <c r="AD28" s="227" t="s">
        <v>10</v>
      </c>
      <c r="AE28" s="228">
        <v>504</v>
      </c>
      <c r="AF28" s="229">
        <f>SUM('Cuota-Pago=Saldo'!AN165)</f>
        <v>-261.23595641856463</v>
      </c>
      <c r="AG28" s="222"/>
      <c r="AH28" s="227" t="s">
        <v>11</v>
      </c>
      <c r="AI28" s="228">
        <v>504</v>
      </c>
      <c r="AJ28" s="229">
        <f>SUM('Cuota-Pago=Saldo'!AN185)</f>
        <v>-412.87208870420847</v>
      </c>
    </row>
    <row r="29" spans="2:36" s="190" customFormat="1" x14ac:dyDescent="0.4">
      <c r="B29" s="265"/>
      <c r="C29" s="265"/>
      <c r="D29" s="266">
        <f>COUNTIF(D9:D28,"&lt;-1000")</f>
        <v>1</v>
      </c>
      <c r="F29" s="265"/>
      <c r="G29" s="265"/>
      <c r="H29" s="266">
        <f>COUNTIF(H9:H28,"&lt;-1000")</f>
        <v>4</v>
      </c>
      <c r="J29" s="265"/>
      <c r="K29" s="265"/>
      <c r="L29" s="266">
        <f>COUNTIF(L9:L28,"&lt;-1000")</f>
        <v>1</v>
      </c>
      <c r="N29" s="265"/>
      <c r="O29" s="265"/>
      <c r="P29" s="266">
        <f>COUNTIF(P9:P28,"&lt;-1000")</f>
        <v>1</v>
      </c>
      <c r="R29" s="265"/>
      <c r="S29" s="265"/>
      <c r="T29" s="266">
        <f>COUNTIF(T9:T28,"&lt;-1000")</f>
        <v>2</v>
      </c>
      <c r="V29" s="265"/>
      <c r="W29" s="265"/>
      <c r="X29" s="266">
        <f>COUNTIF(X9:X28,"&lt;-1000")</f>
        <v>0</v>
      </c>
      <c r="Z29" s="265"/>
      <c r="AA29" s="265"/>
      <c r="AB29" s="266">
        <f>COUNTIF(AB9:AB28,"&lt;-1000")</f>
        <v>0</v>
      </c>
      <c r="AD29" s="265"/>
      <c r="AE29" s="265"/>
      <c r="AF29" s="266">
        <f>COUNTIF(AF9:AF28,"&lt;-1000")</f>
        <v>1</v>
      </c>
      <c r="AH29" s="265"/>
      <c r="AI29" s="265"/>
      <c r="AJ29" s="266">
        <f>COUNTIF(AJ9:AJ28,"&lt;-1000")</f>
        <v>5</v>
      </c>
    </row>
    <row r="30" spans="2:36" s="190" customFormat="1" x14ac:dyDescent="0.4">
      <c r="B30" s="265"/>
      <c r="C30" s="265"/>
      <c r="D30" s="267">
        <f>COUNTIF(D9:D28,"&lt;-10")-D29</f>
        <v>8</v>
      </c>
      <c r="F30" s="265"/>
      <c r="G30" s="265"/>
      <c r="H30" s="267">
        <f>COUNTIF(H9:H28,"&lt;-10")-H29</f>
        <v>7</v>
      </c>
      <c r="J30" s="265"/>
      <c r="K30" s="265"/>
      <c r="L30" s="267">
        <f>COUNTIF(L9:L28,"&lt;-10")-L29</f>
        <v>6</v>
      </c>
      <c r="N30" s="265"/>
      <c r="O30" s="265"/>
      <c r="P30" s="267">
        <f>COUNTIF(P9:P28,"&lt;-10")-P29</f>
        <v>5</v>
      </c>
      <c r="R30" s="265"/>
      <c r="S30" s="265"/>
      <c r="T30" s="267">
        <f>COUNTIF(T9:T28,"&lt;-10")-T29</f>
        <v>4</v>
      </c>
      <c r="V30" s="265"/>
      <c r="W30" s="265"/>
      <c r="X30" s="267">
        <f>COUNTIF(X9:X28,"&lt;-10")-X29</f>
        <v>10</v>
      </c>
      <c r="Z30" s="265"/>
      <c r="AA30" s="265"/>
      <c r="AB30" s="267">
        <f>COUNTIF(AB9:AB28,"&lt;-10")-AB29</f>
        <v>10</v>
      </c>
      <c r="AD30" s="265"/>
      <c r="AE30" s="265"/>
      <c r="AF30" s="267">
        <f>COUNTIF(AF9:AF28,"&lt;-10")-AF29</f>
        <v>9</v>
      </c>
      <c r="AH30" s="265"/>
      <c r="AI30" s="265"/>
      <c r="AJ30" s="267">
        <f>COUNTIF(AJ9:AJ28,"&lt;-10")-AJ29</f>
        <v>9</v>
      </c>
    </row>
    <row r="31" spans="2:36" s="203" customFormat="1" ht="142.5" customHeight="1" x14ac:dyDescent="0.4">
      <c r="B31" s="299" t="s">
        <v>326</v>
      </c>
      <c r="C31" s="299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04"/>
      <c r="R31" s="299" t="s">
        <v>325</v>
      </c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I31" s="299"/>
      <c r="AJ31" s="299"/>
    </row>
    <row r="32" spans="2:36" ht="20.100000000000001" customHeight="1" x14ac:dyDescent="0.4">
      <c r="AJ32" s="189" t="s">
        <v>12</v>
      </c>
    </row>
    <row r="33" spans="18:27" ht="20.100000000000001" customHeight="1" x14ac:dyDescent="0.4"/>
    <row r="34" spans="18:27" ht="20.100000000000001" customHeight="1" x14ac:dyDescent="0.4"/>
    <row r="35" spans="18:27" ht="20.100000000000001" customHeight="1" x14ac:dyDescent="0.55000000000000004">
      <c r="R35" s="298" t="s">
        <v>12</v>
      </c>
      <c r="S35" s="298"/>
      <c r="T35" s="298"/>
      <c r="U35" s="298"/>
      <c r="V35" s="298"/>
      <c r="W35" s="298"/>
      <c r="X35" s="298"/>
    </row>
    <row r="36" spans="18:27" ht="20.100000000000001" customHeight="1" x14ac:dyDescent="0.4"/>
    <row r="37" spans="18:27" ht="20.100000000000001" customHeight="1" x14ac:dyDescent="0.4"/>
    <row r="38" spans="18:27" ht="20.100000000000001" customHeight="1" x14ac:dyDescent="0.4"/>
    <row r="39" spans="18:27" ht="20.100000000000001" customHeight="1" x14ac:dyDescent="0.4"/>
    <row r="40" spans="18:27" ht="20.100000000000001" customHeight="1" x14ac:dyDescent="0.4"/>
    <row r="41" spans="18:27" ht="20.100000000000001" customHeight="1" x14ac:dyDescent="0.55000000000000004">
      <c r="T41" s="273">
        <v>180</v>
      </c>
      <c r="U41" s="273"/>
      <c r="V41" s="273"/>
      <c r="W41" s="273"/>
    </row>
    <row r="42" spans="18:27" ht="20.100000000000001" customHeight="1" x14ac:dyDescent="0.4">
      <c r="T42" s="200">
        <f>SUM(D29:AJ29)</f>
        <v>15</v>
      </c>
      <c r="V42" s="286" cm="1">
        <f t="array" ref="V42">MMULT(T42*100,1/T41)/100</f>
        <v>8.3333333333333343E-2</v>
      </c>
      <c r="W42" s="286"/>
      <c r="X42" s="284" t="s">
        <v>358</v>
      </c>
      <c r="Y42" s="284"/>
      <c r="Z42" s="284"/>
      <c r="AA42" s="284"/>
    </row>
    <row r="43" spans="18:27" ht="20.100000000000001" customHeight="1" x14ac:dyDescent="0.4">
      <c r="T43" s="264">
        <f>SUM(D30:AJ30)</f>
        <v>68</v>
      </c>
      <c r="V43" s="283" cm="1">
        <f t="array" ref="V43">MMULT(T43*100,1/T41)/100</f>
        <v>0.37777777777777777</v>
      </c>
      <c r="W43" s="283"/>
      <c r="X43" s="285" t="s">
        <v>359</v>
      </c>
      <c r="Y43" s="285"/>
      <c r="Z43" s="285"/>
      <c r="AA43" s="285"/>
    </row>
    <row r="44" spans="18:27" ht="20.100000000000001" customHeight="1" x14ac:dyDescent="0.4">
      <c r="T44" s="264">
        <f>SUM(-T42,T41)-T43</f>
        <v>97</v>
      </c>
      <c r="V44" s="287" cm="1">
        <f t="array" ref="V44">MMULT(T44*100,1/T41)/100</f>
        <v>0.53888888888888897</v>
      </c>
      <c r="W44" s="287"/>
      <c r="X44" s="288" t="s">
        <v>317</v>
      </c>
      <c r="Y44" s="288"/>
      <c r="Z44" s="288"/>
      <c r="AA44" s="288"/>
    </row>
    <row r="45" spans="18:27" ht="20.100000000000001" customHeight="1" x14ac:dyDescent="0.4"/>
    <row r="46" spans="18:27" ht="20.100000000000001" customHeight="1" x14ac:dyDescent="0.55000000000000004">
      <c r="S46" s="275" t="s">
        <v>12</v>
      </c>
      <c r="T46" s="275"/>
      <c r="U46" s="275"/>
      <c r="V46" s="297">
        <f ca="1">TODAY()</f>
        <v>46027</v>
      </c>
      <c r="W46" s="297"/>
      <c r="X46" s="282">
        <f>SUM('Cuota-Pago=Saldo'!AP186)</f>
        <v>-64179.652845735043</v>
      </c>
      <c r="Y46" s="282"/>
      <c r="Z46" s="282"/>
      <c r="AA46" s="282"/>
    </row>
    <row r="47" spans="18:27" ht="20.100000000000001" customHeight="1" x14ac:dyDescent="0.45">
      <c r="X47" s="296" t="s">
        <v>363</v>
      </c>
      <c r="Y47" s="296"/>
      <c r="Z47" s="296"/>
      <c r="AA47" s="296"/>
    </row>
    <row r="48" spans="18:27" ht="20.100000000000001" customHeight="1" x14ac:dyDescent="0.4"/>
    <row r="49" spans="4:18" ht="20.100000000000001" customHeight="1" x14ac:dyDescent="0.4"/>
    <row r="50" spans="4:18" ht="20.100000000000001" customHeight="1" x14ac:dyDescent="0.4"/>
    <row r="51" spans="4:18" ht="20.100000000000001" customHeight="1" x14ac:dyDescent="0.4"/>
    <row r="52" spans="4:18" ht="20.100000000000001" customHeight="1" x14ac:dyDescent="0.4"/>
    <row r="53" spans="4:18" ht="13.9" customHeight="1" x14ac:dyDescent="0.55000000000000004">
      <c r="N53" s="188"/>
      <c r="P53" s="274"/>
      <c r="Q53" s="274"/>
      <c r="R53" s="274"/>
    </row>
    <row r="55" spans="4:18" ht="15.75" customHeight="1" x14ac:dyDescent="0.4"/>
    <row r="56" spans="4:18" ht="20.100000000000001" customHeight="1" x14ac:dyDescent="0.4"/>
    <row r="57" spans="4:18" ht="20.100000000000001" customHeight="1" x14ac:dyDescent="0.4"/>
    <row r="58" spans="4:18" ht="20.100000000000001" customHeight="1" x14ac:dyDescent="0.4"/>
    <row r="59" spans="4:18" ht="20.100000000000001" customHeight="1" x14ac:dyDescent="0.4"/>
    <row r="60" spans="4:18" ht="20.100000000000001" customHeight="1" x14ac:dyDescent="0.4">
      <c r="D60" s="198"/>
      <c r="E60" s="198"/>
      <c r="F60" s="198"/>
      <c r="G60" s="198"/>
      <c r="H60" s="198"/>
      <c r="I60" s="198"/>
      <c r="J60" s="198"/>
      <c r="K60" s="198"/>
      <c r="L60" s="198"/>
    </row>
    <row r="61" spans="4:18" ht="20.100000000000001" customHeight="1" x14ac:dyDescent="0.4"/>
    <row r="62" spans="4:18" ht="20.100000000000001" customHeight="1" x14ac:dyDescent="0.4"/>
    <row r="63" spans="4:18" ht="20.100000000000001" customHeight="1" x14ac:dyDescent="0.4"/>
    <row r="64" spans="4:18" ht="20.100000000000001" customHeight="1" x14ac:dyDescent="0.4"/>
    <row r="65" spans="4:36" ht="20.100000000000001" customHeight="1" x14ac:dyDescent="0.4"/>
    <row r="66" spans="4:36" ht="20.100000000000001" customHeight="1" x14ac:dyDescent="0.4"/>
    <row r="67" spans="4:36" ht="20.100000000000001" customHeight="1" x14ac:dyDescent="0.4">
      <c r="D67" s="198">
        <f>COUNTIF(D47:D66,"&lt;-700")</f>
        <v>0</v>
      </c>
      <c r="E67" s="199"/>
      <c r="F67" s="197"/>
      <c r="G67" s="197"/>
      <c r="H67" s="198">
        <f>COUNTIF(H47:H66,"&lt;-700")</f>
        <v>0</v>
      </c>
      <c r="I67" s="199"/>
      <c r="J67" s="197"/>
      <c r="K67" s="197"/>
      <c r="L67" s="198">
        <f>COUNTIF(L47:L66,"&lt;-700")</f>
        <v>0</v>
      </c>
      <c r="M67" s="199"/>
      <c r="N67" s="197"/>
      <c r="O67" s="197"/>
      <c r="P67" s="198">
        <f>COUNTIF(P47:P66,"&lt;-700")</f>
        <v>0</v>
      </c>
      <c r="Q67" s="199"/>
      <c r="R67" s="197"/>
      <c r="S67" s="197"/>
      <c r="T67" s="198">
        <f>COUNTIF(T47:T66,"&lt;-700")</f>
        <v>0</v>
      </c>
      <c r="U67" s="199"/>
      <c r="V67" s="197"/>
      <c r="W67" s="197"/>
      <c r="X67" s="198">
        <f>COUNTIF(X47:X66,"&lt;-700")</f>
        <v>0</v>
      </c>
      <c r="Y67" s="199"/>
      <c r="Z67" s="197"/>
      <c r="AA67" s="197"/>
      <c r="AB67" s="198">
        <f>COUNTIF(AB47:AB66,"&lt;-700")</f>
        <v>0</v>
      </c>
      <c r="AC67" s="199"/>
      <c r="AD67" s="197"/>
      <c r="AE67" s="197"/>
      <c r="AF67" s="198">
        <f>COUNTIF(AF47:AF66,"&lt;-700")</f>
        <v>0</v>
      </c>
      <c r="AG67" s="199"/>
      <c r="AH67" s="197"/>
      <c r="AI67" s="197"/>
      <c r="AJ67" s="198">
        <f>COUNTIF(AJ47:AJ66,"&lt;-700")</f>
        <v>0</v>
      </c>
    </row>
    <row r="68" spans="4:36" ht="20.100000000000001" customHeight="1" x14ac:dyDescent="0.4"/>
    <row r="69" spans="4:36" ht="20.100000000000001" customHeight="1" x14ac:dyDescent="0.4"/>
    <row r="70" spans="4:36" ht="20.100000000000001" customHeight="1" x14ac:dyDescent="0.4"/>
    <row r="71" spans="4:36" ht="20.100000000000001" customHeight="1" x14ac:dyDescent="0.4"/>
    <row r="72" spans="4:36" ht="20.100000000000001" customHeight="1" x14ac:dyDescent="0.4"/>
    <row r="73" spans="4:36" ht="20.100000000000001" customHeight="1" x14ac:dyDescent="0.4"/>
    <row r="74" spans="4:36" ht="20.100000000000001" customHeight="1" x14ac:dyDescent="0.4"/>
    <row r="75" spans="4:36" ht="20.100000000000001" customHeight="1" x14ac:dyDescent="0.4"/>
    <row r="77" spans="4:36" ht="15" customHeight="1" x14ac:dyDescent="0.4"/>
    <row r="79" spans="4:36" ht="20.100000000000001" customHeight="1" x14ac:dyDescent="0.4"/>
    <row r="80" spans="4:36" ht="20.100000000000001" customHeight="1" x14ac:dyDescent="0.4"/>
    <row r="81" spans="5:8" ht="20.100000000000001" customHeight="1" x14ac:dyDescent="0.4"/>
    <row r="82" spans="5:8" ht="20.100000000000001" customHeight="1" x14ac:dyDescent="0.4"/>
    <row r="83" spans="5:8" ht="20.100000000000001" customHeight="1" x14ac:dyDescent="0.4"/>
    <row r="84" spans="5:8" ht="20.100000000000001" customHeight="1" x14ac:dyDescent="0.4"/>
    <row r="85" spans="5:8" ht="20.100000000000001" customHeight="1" x14ac:dyDescent="0.4"/>
    <row r="86" spans="5:8" ht="20.100000000000001" customHeight="1" x14ac:dyDescent="0.4"/>
    <row r="87" spans="5:8" ht="20.100000000000001" customHeight="1" x14ac:dyDescent="0.4"/>
    <row r="88" spans="5:8" s="190" customFormat="1" ht="20.100000000000001" customHeight="1" x14ac:dyDescent="0.4">
      <c r="E88" s="185"/>
      <c r="F88" s="185"/>
      <c r="G88" s="185"/>
      <c r="H88" s="185"/>
    </row>
    <row r="89" spans="5:8" s="190" customFormat="1" ht="20.100000000000001" customHeight="1" x14ac:dyDescent="0.4">
      <c r="E89" s="185"/>
      <c r="F89" s="185"/>
      <c r="G89" s="185"/>
      <c r="H89" s="185"/>
    </row>
    <row r="90" spans="5:8" s="190" customFormat="1" ht="20.100000000000001" customHeight="1" x14ac:dyDescent="0.4">
      <c r="E90" s="185"/>
      <c r="F90" s="185"/>
      <c r="G90" s="185"/>
      <c r="H90" s="185"/>
    </row>
    <row r="91" spans="5:8" s="190" customFormat="1" ht="20.100000000000001" customHeight="1" x14ac:dyDescent="0.4">
      <c r="E91" s="185"/>
      <c r="F91" s="185"/>
      <c r="G91" s="185"/>
      <c r="H91" s="185"/>
    </row>
    <row r="92" spans="5:8" s="190" customFormat="1" ht="20.100000000000001" customHeight="1" x14ac:dyDescent="0.4">
      <c r="E92" s="185"/>
      <c r="F92" s="185"/>
      <c r="G92" s="185"/>
      <c r="H92" s="185"/>
    </row>
    <row r="93" spans="5:8" s="190" customFormat="1" ht="20.100000000000001" customHeight="1" x14ac:dyDescent="0.4">
      <c r="E93" s="185"/>
      <c r="F93" s="185"/>
      <c r="G93" s="185"/>
      <c r="H93" s="185"/>
    </row>
    <row r="94" spans="5:8" s="190" customFormat="1" ht="20.100000000000001" customHeight="1" x14ac:dyDescent="0.4">
      <c r="E94" s="185"/>
      <c r="F94" s="185"/>
      <c r="G94" s="185"/>
      <c r="H94" s="185"/>
    </row>
    <row r="95" spans="5:8" s="190" customFormat="1" ht="20.100000000000001" customHeight="1" x14ac:dyDescent="0.4">
      <c r="E95" s="185"/>
      <c r="F95" s="185"/>
      <c r="G95" s="185"/>
      <c r="H95" s="185"/>
    </row>
    <row r="96" spans="5:8" s="190" customFormat="1" ht="20.100000000000001" customHeight="1" x14ac:dyDescent="0.4">
      <c r="E96" s="185"/>
      <c r="F96" s="185"/>
      <c r="G96" s="185"/>
      <c r="H96" s="185"/>
    </row>
    <row r="97" spans="5:8" s="190" customFormat="1" ht="20.100000000000001" customHeight="1" x14ac:dyDescent="0.4">
      <c r="E97" s="185"/>
      <c r="F97" s="185"/>
      <c r="G97" s="185"/>
      <c r="H97" s="185"/>
    </row>
    <row r="98" spans="5:8" s="190" customFormat="1" ht="20.100000000000001" customHeight="1" x14ac:dyDescent="0.4">
      <c r="E98" s="185"/>
      <c r="F98" s="185"/>
      <c r="G98" s="185"/>
      <c r="H98" s="185"/>
    </row>
    <row r="99" spans="5:8" s="190" customFormat="1" x14ac:dyDescent="0.4">
      <c r="E99" s="185"/>
      <c r="F99" s="185"/>
      <c r="G99" s="185"/>
      <c r="H99" s="185"/>
    </row>
    <row r="100" spans="5:8" s="190" customFormat="1" ht="15" customHeight="1" x14ac:dyDescent="0.4">
      <c r="E100" s="185"/>
      <c r="F100" s="185"/>
      <c r="G100" s="185"/>
      <c r="H100" s="185"/>
    </row>
    <row r="101" spans="5:8" s="190" customFormat="1" x14ac:dyDescent="0.4">
      <c r="E101" s="185"/>
      <c r="F101" s="185"/>
      <c r="G101" s="185"/>
      <c r="H101" s="185"/>
    </row>
    <row r="102" spans="5:8" ht="20.100000000000001" customHeight="1" x14ac:dyDescent="0.4"/>
    <row r="103" spans="5:8" ht="20.100000000000001" customHeight="1" x14ac:dyDescent="0.4"/>
    <row r="104" spans="5:8" ht="20.100000000000001" customHeight="1" x14ac:dyDescent="0.4"/>
    <row r="105" spans="5:8" ht="20.100000000000001" customHeight="1" x14ac:dyDescent="0.4"/>
    <row r="106" spans="5:8" ht="20.100000000000001" customHeight="1" x14ac:dyDescent="0.4"/>
    <row r="107" spans="5:8" ht="20.100000000000001" customHeight="1" x14ac:dyDescent="0.4"/>
    <row r="108" spans="5:8" ht="20.100000000000001" customHeight="1" x14ac:dyDescent="0.4"/>
    <row r="109" spans="5:8" ht="20.100000000000001" customHeight="1" x14ac:dyDescent="0.4"/>
    <row r="110" spans="5:8" ht="20.100000000000001" customHeight="1" x14ac:dyDescent="0.4"/>
    <row r="111" spans="5:8" ht="20.100000000000001" customHeight="1" x14ac:dyDescent="0.4"/>
    <row r="112" spans="5:8" ht="20.100000000000001" customHeight="1" x14ac:dyDescent="0.4"/>
    <row r="113" ht="20.100000000000001" customHeight="1" x14ac:dyDescent="0.4"/>
    <row r="114" ht="20.100000000000001" customHeight="1" x14ac:dyDescent="0.4"/>
    <row r="115" ht="20.100000000000001" customHeight="1" x14ac:dyDescent="0.4"/>
    <row r="116" ht="20.100000000000001" customHeight="1" x14ac:dyDescent="0.4"/>
    <row r="117" ht="20.100000000000001" customHeight="1" x14ac:dyDescent="0.4"/>
    <row r="118" ht="20.100000000000001" customHeight="1" x14ac:dyDescent="0.4"/>
    <row r="119" ht="20.100000000000001" customHeight="1" x14ac:dyDescent="0.4"/>
    <row r="120" ht="20.100000000000001" customHeight="1" x14ac:dyDescent="0.4"/>
    <row r="121" ht="20.100000000000001" customHeight="1" x14ac:dyDescent="0.4"/>
    <row r="123" ht="15" customHeight="1" x14ac:dyDescent="0.4"/>
    <row r="125" ht="20.100000000000001" customHeight="1" x14ac:dyDescent="0.4"/>
    <row r="126" ht="20.100000000000001" customHeight="1" x14ac:dyDescent="0.4"/>
    <row r="127" ht="20.100000000000001" customHeight="1" x14ac:dyDescent="0.4"/>
    <row r="128" ht="20.100000000000001" customHeight="1" x14ac:dyDescent="0.4"/>
    <row r="129" spans="5:8" ht="20.100000000000001" customHeight="1" x14ac:dyDescent="0.4"/>
    <row r="130" spans="5:8" ht="20.100000000000001" customHeight="1" x14ac:dyDescent="0.4"/>
    <row r="131" spans="5:8" ht="20.100000000000001" customHeight="1" x14ac:dyDescent="0.4"/>
    <row r="132" spans="5:8" s="190" customFormat="1" ht="20.100000000000001" customHeight="1" x14ac:dyDescent="0.4">
      <c r="E132" s="185"/>
      <c r="F132" s="185"/>
      <c r="G132" s="185"/>
      <c r="H132" s="185"/>
    </row>
    <row r="133" spans="5:8" s="190" customFormat="1" ht="20.100000000000001" customHeight="1" x14ac:dyDescent="0.4">
      <c r="E133" s="185"/>
      <c r="F133" s="185"/>
      <c r="G133" s="185"/>
      <c r="H133" s="185"/>
    </row>
    <row r="134" spans="5:8" s="190" customFormat="1" ht="20.100000000000001" customHeight="1" x14ac:dyDescent="0.4">
      <c r="E134" s="185"/>
      <c r="F134" s="185"/>
      <c r="G134" s="185"/>
      <c r="H134" s="185"/>
    </row>
    <row r="135" spans="5:8" s="190" customFormat="1" ht="20.100000000000001" customHeight="1" x14ac:dyDescent="0.4">
      <c r="E135" s="185"/>
      <c r="F135" s="185"/>
      <c r="G135" s="185"/>
      <c r="H135" s="185"/>
    </row>
    <row r="136" spans="5:8" s="190" customFormat="1" ht="20.100000000000001" customHeight="1" x14ac:dyDescent="0.4">
      <c r="E136" s="185"/>
      <c r="F136" s="185"/>
      <c r="G136" s="185"/>
      <c r="H136" s="185"/>
    </row>
    <row r="137" spans="5:8" s="190" customFormat="1" ht="20.100000000000001" customHeight="1" x14ac:dyDescent="0.4">
      <c r="E137" s="185"/>
      <c r="F137" s="185"/>
      <c r="G137" s="185"/>
      <c r="H137" s="185"/>
    </row>
    <row r="138" spans="5:8" s="190" customFormat="1" ht="20.100000000000001" customHeight="1" x14ac:dyDescent="0.4">
      <c r="E138" s="185"/>
      <c r="F138" s="185"/>
      <c r="G138" s="185"/>
      <c r="H138" s="185"/>
    </row>
    <row r="139" spans="5:8" s="190" customFormat="1" ht="20.100000000000001" customHeight="1" x14ac:dyDescent="0.4">
      <c r="E139" s="185"/>
      <c r="F139" s="185"/>
      <c r="G139" s="185"/>
      <c r="H139" s="185"/>
    </row>
    <row r="140" spans="5:8" s="190" customFormat="1" ht="20.100000000000001" customHeight="1" x14ac:dyDescent="0.4">
      <c r="E140" s="185"/>
      <c r="F140" s="185"/>
      <c r="G140" s="185"/>
      <c r="H140" s="185"/>
    </row>
    <row r="141" spans="5:8" s="190" customFormat="1" ht="20.100000000000001" customHeight="1" x14ac:dyDescent="0.4">
      <c r="E141" s="185"/>
      <c r="F141" s="185"/>
      <c r="G141" s="185"/>
      <c r="H141" s="185"/>
    </row>
    <row r="142" spans="5:8" s="190" customFormat="1" ht="20.100000000000001" customHeight="1" x14ac:dyDescent="0.4">
      <c r="E142" s="185"/>
      <c r="F142" s="185"/>
      <c r="G142" s="185"/>
      <c r="H142" s="185"/>
    </row>
    <row r="143" spans="5:8" s="190" customFormat="1" ht="20.100000000000001" customHeight="1" x14ac:dyDescent="0.4">
      <c r="E143" s="185"/>
      <c r="F143" s="185"/>
      <c r="G143" s="185"/>
      <c r="H143" s="185"/>
    </row>
    <row r="144" spans="5:8" s="190" customFormat="1" ht="20.100000000000001" customHeight="1" x14ac:dyDescent="0.4">
      <c r="E144" s="185"/>
      <c r="F144" s="185"/>
      <c r="G144" s="185"/>
      <c r="H144" s="185"/>
    </row>
    <row r="145" spans="5:8" s="190" customFormat="1" x14ac:dyDescent="0.4">
      <c r="E145" s="185"/>
      <c r="F145" s="185"/>
      <c r="G145" s="185"/>
      <c r="H145" s="185"/>
    </row>
    <row r="146" spans="5:8" ht="15" customHeight="1" x14ac:dyDescent="0.4"/>
    <row r="148" spans="5:8" ht="20.100000000000001" customHeight="1" x14ac:dyDescent="0.4"/>
    <row r="149" spans="5:8" ht="20.100000000000001" customHeight="1" x14ac:dyDescent="0.4"/>
    <row r="150" spans="5:8" ht="20.100000000000001" customHeight="1" x14ac:dyDescent="0.4"/>
    <row r="151" spans="5:8" ht="20.100000000000001" customHeight="1" x14ac:dyDescent="0.4"/>
    <row r="152" spans="5:8" ht="20.100000000000001" customHeight="1" x14ac:dyDescent="0.4"/>
    <row r="153" spans="5:8" ht="20.100000000000001" customHeight="1" x14ac:dyDescent="0.4"/>
    <row r="154" spans="5:8" ht="20.100000000000001" customHeight="1" x14ac:dyDescent="0.4"/>
    <row r="155" spans="5:8" ht="20.100000000000001" customHeight="1" x14ac:dyDescent="0.4"/>
    <row r="156" spans="5:8" ht="20.100000000000001" customHeight="1" x14ac:dyDescent="0.4"/>
    <row r="157" spans="5:8" ht="20.100000000000001" customHeight="1" x14ac:dyDescent="0.4"/>
    <row r="158" spans="5:8" ht="20.100000000000001" customHeight="1" x14ac:dyDescent="0.4"/>
    <row r="159" spans="5:8" ht="20.100000000000001" customHeight="1" x14ac:dyDescent="0.4"/>
    <row r="160" spans="5:8" ht="20.100000000000001" customHeight="1" x14ac:dyDescent="0.4"/>
    <row r="161" spans="2:4" ht="20.100000000000001" customHeight="1" x14ac:dyDescent="0.4">
      <c r="B161" s="185"/>
      <c r="D161" s="185"/>
    </row>
    <row r="162" spans="2:4" ht="20.100000000000001" customHeight="1" x14ac:dyDescent="0.4"/>
    <row r="163" spans="2:4" ht="20.100000000000001" customHeight="1" x14ac:dyDescent="0.4"/>
    <row r="164" spans="2:4" ht="20.100000000000001" customHeight="1" x14ac:dyDescent="0.4"/>
    <row r="165" spans="2:4" ht="20.100000000000001" customHeight="1" x14ac:dyDescent="0.4"/>
    <row r="166" spans="2:4" ht="20.100000000000001" customHeight="1" x14ac:dyDescent="0.4"/>
    <row r="167" spans="2:4" ht="20.100000000000001" customHeight="1" x14ac:dyDescent="0.4"/>
    <row r="169" spans="2:4" ht="15" customHeight="1" x14ac:dyDescent="0.4"/>
    <row r="171" spans="2:4" ht="20.100000000000001" customHeight="1" x14ac:dyDescent="0.4"/>
    <row r="172" spans="2:4" ht="20.100000000000001" customHeight="1" x14ac:dyDescent="0.4"/>
    <row r="173" spans="2:4" ht="20.100000000000001" customHeight="1" x14ac:dyDescent="0.4"/>
    <row r="174" spans="2:4" ht="20.100000000000001" customHeight="1" x14ac:dyDescent="0.4"/>
    <row r="175" spans="2:4" ht="20.100000000000001" customHeight="1" x14ac:dyDescent="0.4"/>
    <row r="176" spans="2:4" ht="20.100000000000001" customHeight="1" x14ac:dyDescent="0.4"/>
    <row r="177" spans="2:4" ht="20.100000000000001" customHeight="1" x14ac:dyDescent="0.4"/>
    <row r="178" spans="2:4" ht="20.100000000000001" customHeight="1" x14ac:dyDescent="0.4"/>
    <row r="179" spans="2:4" ht="20.100000000000001" customHeight="1" x14ac:dyDescent="0.4"/>
    <row r="180" spans="2:4" ht="20.100000000000001" customHeight="1" x14ac:dyDescent="0.4"/>
    <row r="181" spans="2:4" ht="20.100000000000001" customHeight="1" x14ac:dyDescent="0.4"/>
    <row r="182" spans="2:4" ht="20.100000000000001" customHeight="1" x14ac:dyDescent="0.4"/>
    <row r="183" spans="2:4" ht="20.100000000000001" customHeight="1" x14ac:dyDescent="0.4"/>
    <row r="184" spans="2:4" ht="20.100000000000001" customHeight="1" x14ac:dyDescent="0.4"/>
    <row r="185" spans="2:4" ht="20.100000000000001" customHeight="1" x14ac:dyDescent="0.4"/>
    <row r="186" spans="2:4" ht="20.100000000000001" customHeight="1" x14ac:dyDescent="0.4"/>
    <row r="187" spans="2:4" ht="20.100000000000001" customHeight="1" x14ac:dyDescent="0.4"/>
    <row r="188" spans="2:4" ht="20.100000000000001" customHeight="1" x14ac:dyDescent="0.4"/>
    <row r="189" spans="2:4" ht="20.100000000000001" customHeight="1" x14ac:dyDescent="0.4"/>
    <row r="190" spans="2:4" ht="20.100000000000001" customHeight="1" x14ac:dyDescent="0.4"/>
    <row r="191" spans="2:4" x14ac:dyDescent="0.4">
      <c r="B191" s="191"/>
      <c r="C191" s="191"/>
      <c r="D191" s="192"/>
    </row>
  </sheetData>
  <mergeCells count="22">
    <mergeCell ref="X47:AA47"/>
    <mergeCell ref="V46:W46"/>
    <mergeCell ref="R35:X35"/>
    <mergeCell ref="B31:P31"/>
    <mergeCell ref="R31:AJ31"/>
    <mergeCell ref="B2:AJ2"/>
    <mergeCell ref="B4:D4"/>
    <mergeCell ref="B5:D5"/>
    <mergeCell ref="E5:H5"/>
    <mergeCell ref="E4:H4"/>
    <mergeCell ref="W4:Z4"/>
    <mergeCell ref="O6:Q6"/>
    <mergeCell ref="AH5:AJ5"/>
    <mergeCell ref="AC4:AJ4"/>
    <mergeCell ref="AD5:AG5"/>
    <mergeCell ref="X46:AA46"/>
    <mergeCell ref="V43:W43"/>
    <mergeCell ref="X42:AA42"/>
    <mergeCell ref="X43:AA43"/>
    <mergeCell ref="V42:W42"/>
    <mergeCell ref="V44:W44"/>
    <mergeCell ref="X44:AA44"/>
  </mergeCells>
  <conditionalFormatting sqref="C9:AJ28">
    <cfRule type="cellIs" dxfId="22" priority="4" operator="lessThan">
      <formula>-1000</formula>
    </cfRule>
  </conditionalFormatting>
  <conditionalFormatting sqref="D9:D28">
    <cfRule type="cellIs" dxfId="21" priority="1" operator="between">
      <formula>0</formula>
      <formula>-0.01</formula>
    </cfRule>
  </conditionalFormatting>
  <conditionalFormatting sqref="H9:H28 L9:L28 P9:P28 T9:T28 X9:X28 AB9:AB28 AF9:AF28 AJ9:AJ28">
    <cfRule type="cellIs" dxfId="20" priority="5" operator="between">
      <formula>-1</formula>
      <formula>1</formula>
    </cfRule>
  </conditionalFormatting>
  <hyperlinks>
    <hyperlink ref="AC4" r:id="rId1" display="https://busquedas.elperuano.pe/dispositivo/NL/2181939-6_x000a_Decreto Legislativo Nº 1568 Publicado 28/May/2023_x000a_" xr:uid="{6900CB7B-65DA-45A8-94B0-AB6ABEAC9B13}"/>
    <hyperlink ref="AC4:AJ4" r:id="rId2" display="https://busquedas.elperuano.pe/dispositivo/NL/2181939-6" xr:uid="{8AB7AB68-2FDC-4BA9-A726-2FA56E01661A}"/>
  </hyperlinks>
  <pageMargins left="0.31496062992125984" right="0.31496062992125984" top="0.94488188976377963" bottom="0.35433070866141736" header="0.31496062992125984" footer="0.31496062992125984"/>
  <pageSetup paperSize="9" scale="55" orientation="landscape" verticalDpi="360" r:id="rId3"/>
  <rowBreaks count="6" manualBreakCount="6">
    <brk id="53" max="16383" man="1"/>
    <brk id="76" max="16383" man="1"/>
    <brk id="99" max="16383" man="1"/>
    <brk id="122" max="16383" man="1"/>
    <brk id="145" max="16383" man="1"/>
    <brk id="168" max="16383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20C63-06F6-4E17-8F89-F140067405C2}">
  <dimension ref="A1:O2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R2" sqref="R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11537.828954464765</v>
      </c>
      <c r="H1" s="27">
        <f>SUM(G194)</f>
        <v>3190.8710455352348</v>
      </c>
      <c r="I1" s="316">
        <f>SUM(G1:H1)</f>
        <v>14728.7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43961</v>
      </c>
      <c r="E2" s="3">
        <v>43992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3075246</v>
      </c>
      <c r="E3" s="1">
        <v>3085280</v>
      </c>
      <c r="F3" s="41">
        <f>(E3-D3)*$N$1</f>
        <v>10.034000000000001</v>
      </c>
      <c r="G3" s="22">
        <f>MMULT($G$1,1/$F$183)*F3</f>
        <v>39.74926729424422</v>
      </c>
      <c r="H3" s="45">
        <f>MMULT($H$1,1/180)</f>
        <v>17.727061364084637</v>
      </c>
      <c r="I3" s="42">
        <f>SUM(G3,H3)</f>
        <v>57.476328658328853</v>
      </c>
      <c r="J3" s="30">
        <v>310</v>
      </c>
      <c r="K3" s="195"/>
      <c r="L3" s="27">
        <f>SUM(I3,J3,K3)</f>
        <v>367.47632865832884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1945748</v>
      </c>
      <c r="E4" s="1">
        <v>1955289</v>
      </c>
      <c r="F4" s="41">
        <f t="shared" ref="F4:F22" si="0">(E4-D4)*$N$1</f>
        <v>9.5410000000000004</v>
      </c>
      <c r="G4" s="22">
        <f t="shared" ref="G4:G67" si="1">MMULT($G$1,1/$F$183)*F4</f>
        <v>37.796268612157078</v>
      </c>
      <c r="H4" s="45">
        <f t="shared" ref="H4:H67" si="2">MMULT($H$1,1/180)</f>
        <v>17.727061364084637</v>
      </c>
      <c r="I4" s="42">
        <f t="shared" ref="I4:I67" si="3">SUM(G4,H4)</f>
        <v>55.523329976241712</v>
      </c>
      <c r="J4" s="30">
        <f>SUM($J$3)</f>
        <v>310</v>
      </c>
      <c r="K4" s="195"/>
      <c r="L4" s="27">
        <f t="shared" ref="L4:L68" si="4">SUM(I4,J4,K4)</f>
        <v>365.52332997624171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2870463</v>
      </c>
      <c r="E5" s="1">
        <v>2881052</v>
      </c>
      <c r="F5" s="41">
        <f t="shared" si="0"/>
        <v>10.589</v>
      </c>
      <c r="G5" s="22">
        <f t="shared" si="1"/>
        <v>41.947876358257133</v>
      </c>
      <c r="H5" s="45">
        <f t="shared" si="2"/>
        <v>17.727061364084637</v>
      </c>
      <c r="I5" s="42">
        <f t="shared" si="3"/>
        <v>59.674937722341767</v>
      </c>
      <c r="J5" s="30">
        <f t="shared" ref="J5:J68" si="5">SUM($J$3)</f>
        <v>310</v>
      </c>
      <c r="K5" s="195">
        <v>10</v>
      </c>
      <c r="L5" s="27">
        <f t="shared" si="4"/>
        <v>379.67493772234178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2475310</v>
      </c>
      <c r="E6" s="1">
        <v>2486622</v>
      </c>
      <c r="F6" s="41">
        <f t="shared" si="0"/>
        <v>11.311999999999999</v>
      </c>
      <c r="G6" s="22">
        <f t="shared" si="1"/>
        <v>44.812010328133404</v>
      </c>
      <c r="H6" s="45">
        <f t="shared" si="2"/>
        <v>17.727061364084637</v>
      </c>
      <c r="I6" s="42">
        <f t="shared" si="3"/>
        <v>62.539071692218045</v>
      </c>
      <c r="J6" s="30">
        <f t="shared" si="5"/>
        <v>310</v>
      </c>
      <c r="K6" s="195"/>
      <c r="L6" s="27">
        <f t="shared" si="4"/>
        <v>372.53907169221804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3611897</v>
      </c>
      <c r="E7" s="1">
        <v>3632977</v>
      </c>
      <c r="F7" s="41">
        <f t="shared" si="0"/>
        <v>21.080000000000002</v>
      </c>
      <c r="G7" s="22">
        <f t="shared" si="1"/>
        <v>83.507529854760634</v>
      </c>
      <c r="H7" s="45">
        <f t="shared" si="2"/>
        <v>17.727061364084637</v>
      </c>
      <c r="I7" s="42">
        <f t="shared" si="3"/>
        <v>101.23459121884527</v>
      </c>
      <c r="J7" s="30">
        <f t="shared" si="5"/>
        <v>310</v>
      </c>
      <c r="K7" s="195"/>
      <c r="L7" s="27">
        <f t="shared" si="4"/>
        <v>411.23459121884525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86759</v>
      </c>
      <c r="E8" s="1">
        <v>103591</v>
      </c>
      <c r="F8" s="41">
        <f t="shared" si="0"/>
        <v>16.832000000000001</v>
      </c>
      <c r="G8" s="22">
        <f t="shared" si="1"/>
        <v>66.679257235072626</v>
      </c>
      <c r="H8" s="45">
        <f t="shared" si="2"/>
        <v>17.727061364084637</v>
      </c>
      <c r="I8" s="42">
        <f t="shared" si="3"/>
        <v>84.40631859915726</v>
      </c>
      <c r="J8" s="30">
        <f t="shared" si="5"/>
        <v>310</v>
      </c>
      <c r="K8" s="195"/>
      <c r="L8" s="27">
        <f t="shared" si="4"/>
        <v>394.40631859915726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4813034</v>
      </c>
      <c r="E9" s="1">
        <v>4835529</v>
      </c>
      <c r="F9" s="41">
        <f t="shared" si="0"/>
        <v>22.495000000000001</v>
      </c>
      <c r="G9" s="22">
        <f t="shared" si="1"/>
        <v>89.11299260355031</v>
      </c>
      <c r="H9" s="45">
        <f t="shared" si="2"/>
        <v>17.727061364084637</v>
      </c>
      <c r="I9" s="42">
        <f t="shared" si="3"/>
        <v>106.84005396763494</v>
      </c>
      <c r="J9" s="30">
        <f t="shared" si="5"/>
        <v>310</v>
      </c>
      <c r="K9" s="195"/>
      <c r="L9" s="27">
        <f t="shared" si="4"/>
        <v>416.84005396763496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1897334</v>
      </c>
      <c r="E10" s="1">
        <v>1910897</v>
      </c>
      <c r="F10" s="41">
        <f t="shared" si="0"/>
        <v>13.563000000000001</v>
      </c>
      <c r="G10" s="22">
        <f t="shared" si="1"/>
        <v>53.729251775147937</v>
      </c>
      <c r="H10" s="45">
        <f t="shared" si="2"/>
        <v>17.727061364084637</v>
      </c>
      <c r="I10" s="42">
        <f t="shared" si="3"/>
        <v>71.456313139232577</v>
      </c>
      <c r="J10" s="30">
        <f t="shared" si="5"/>
        <v>310</v>
      </c>
      <c r="K10" s="195"/>
      <c r="L10" s="27">
        <f t="shared" si="4"/>
        <v>381.45631313923258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3933712</v>
      </c>
      <c r="E11" s="1">
        <v>3933712</v>
      </c>
      <c r="F11" s="41">
        <f t="shared" si="0"/>
        <v>0</v>
      </c>
      <c r="G11" s="22">
        <f t="shared" si="1"/>
        <v>0</v>
      </c>
      <c r="H11" s="45">
        <f t="shared" si="2"/>
        <v>17.727061364084637</v>
      </c>
      <c r="I11" s="42">
        <f t="shared" si="3"/>
        <v>17.727061364084637</v>
      </c>
      <c r="J11" s="30">
        <f t="shared" si="5"/>
        <v>310</v>
      </c>
      <c r="K11" s="195"/>
      <c r="L11" s="27">
        <f t="shared" si="4"/>
        <v>327.72706136408465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4243396</v>
      </c>
      <c r="E12" s="1">
        <v>4266373</v>
      </c>
      <c r="F12" s="41">
        <f t="shared" si="0"/>
        <v>22.977</v>
      </c>
      <c r="G12" s="22">
        <f t="shared" si="1"/>
        <v>91.022415250134486</v>
      </c>
      <c r="H12" s="45">
        <f t="shared" si="2"/>
        <v>17.727061364084637</v>
      </c>
      <c r="I12" s="42">
        <f t="shared" si="3"/>
        <v>108.74947661421912</v>
      </c>
      <c r="J12" s="30">
        <f t="shared" si="5"/>
        <v>310</v>
      </c>
      <c r="K12" s="195"/>
      <c r="L12" s="27">
        <f t="shared" si="4"/>
        <v>418.74947661421913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3535683</v>
      </c>
      <c r="E13" s="1">
        <v>3553532</v>
      </c>
      <c r="F13" s="41">
        <f t="shared" si="0"/>
        <v>17.849</v>
      </c>
      <c r="G13" s="22">
        <f t="shared" si="1"/>
        <v>70.708059790209802</v>
      </c>
      <c r="H13" s="45">
        <f t="shared" si="2"/>
        <v>17.727061364084637</v>
      </c>
      <c r="I13" s="42">
        <f t="shared" si="3"/>
        <v>88.435121154294436</v>
      </c>
      <c r="J13" s="30">
        <f t="shared" si="5"/>
        <v>310</v>
      </c>
      <c r="K13" s="195"/>
      <c r="L13" s="27">
        <f t="shared" si="4"/>
        <v>398.43512115429445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1597336</v>
      </c>
      <c r="E14" s="1">
        <v>1603923</v>
      </c>
      <c r="F14" s="41">
        <f t="shared" si="0"/>
        <v>6.5869999999999997</v>
      </c>
      <c r="G14" s="22">
        <f t="shared" si="1"/>
        <v>26.094122350726199</v>
      </c>
      <c r="H14" s="45">
        <f t="shared" si="2"/>
        <v>17.727061364084637</v>
      </c>
      <c r="I14" s="42">
        <f t="shared" si="3"/>
        <v>43.821183714810836</v>
      </c>
      <c r="J14" s="30">
        <f t="shared" si="5"/>
        <v>310</v>
      </c>
      <c r="K14" s="195"/>
      <c r="L14" s="27">
        <f t="shared" si="4"/>
        <v>353.82118371481084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2201713</v>
      </c>
      <c r="E15" s="1">
        <v>2208690</v>
      </c>
      <c r="F15" s="41">
        <f t="shared" si="0"/>
        <v>6.9770000000000003</v>
      </c>
      <c r="G15" s="22">
        <f t="shared" si="1"/>
        <v>27.639090882194733</v>
      </c>
      <c r="H15" s="45">
        <f t="shared" si="2"/>
        <v>17.727061364084637</v>
      </c>
      <c r="I15" s="42">
        <f t="shared" si="3"/>
        <v>45.36615224627937</v>
      </c>
      <c r="J15" s="30">
        <f t="shared" si="5"/>
        <v>310</v>
      </c>
      <c r="K15" s="195"/>
      <c r="L15" s="27">
        <f t="shared" si="4"/>
        <v>355.3661522462794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5538316</v>
      </c>
      <c r="E16" s="1">
        <v>5549776</v>
      </c>
      <c r="F16" s="41">
        <f t="shared" si="0"/>
        <v>11.46</v>
      </c>
      <c r="G16" s="22">
        <f t="shared" si="1"/>
        <v>45.398306078536855</v>
      </c>
      <c r="H16" s="45">
        <f t="shared" si="2"/>
        <v>17.727061364084637</v>
      </c>
      <c r="I16" s="42">
        <f t="shared" si="3"/>
        <v>63.125367442621496</v>
      </c>
      <c r="J16" s="30">
        <f t="shared" si="5"/>
        <v>310</v>
      </c>
      <c r="K16" s="195"/>
      <c r="L16" s="27">
        <f t="shared" si="4"/>
        <v>373.1253674426215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2959483</v>
      </c>
      <c r="E17" s="1">
        <v>2969809</v>
      </c>
      <c r="F17" s="41">
        <f t="shared" si="0"/>
        <v>10.326000000000001</v>
      </c>
      <c r="G17" s="22">
        <f t="shared" si="1"/>
        <v>40.906012963959121</v>
      </c>
      <c r="H17" s="45">
        <f t="shared" si="2"/>
        <v>17.727061364084637</v>
      </c>
      <c r="I17" s="42">
        <f t="shared" si="3"/>
        <v>58.633074328043762</v>
      </c>
      <c r="J17" s="30">
        <f t="shared" si="5"/>
        <v>310</v>
      </c>
      <c r="K17" s="195"/>
      <c r="L17" s="27">
        <f t="shared" si="4"/>
        <v>368.63307432804379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2599498</v>
      </c>
      <c r="E18" s="1">
        <v>2613977</v>
      </c>
      <c r="F18" s="41">
        <f t="shared" si="0"/>
        <v>14.479000000000001</v>
      </c>
      <c r="G18" s="22">
        <f t="shared" si="1"/>
        <v>57.357947095212488</v>
      </c>
      <c r="H18" s="45">
        <f t="shared" si="2"/>
        <v>17.727061364084637</v>
      </c>
      <c r="I18" s="42">
        <f t="shared" si="3"/>
        <v>75.085008459297129</v>
      </c>
      <c r="J18" s="30">
        <f t="shared" si="5"/>
        <v>310</v>
      </c>
      <c r="K18" s="195"/>
      <c r="L18" s="27">
        <f t="shared" si="4"/>
        <v>385.08500845929711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3781978</v>
      </c>
      <c r="E19" s="1">
        <v>3803279</v>
      </c>
      <c r="F19" s="41">
        <f t="shared" si="0"/>
        <v>21.301000000000002</v>
      </c>
      <c r="G19" s="22">
        <f t="shared" si="1"/>
        <v>84.383012022592808</v>
      </c>
      <c r="H19" s="45">
        <f t="shared" si="2"/>
        <v>17.727061364084637</v>
      </c>
      <c r="I19" s="42">
        <f t="shared" si="3"/>
        <v>102.11007338667744</v>
      </c>
      <c r="J19" s="30">
        <f t="shared" si="5"/>
        <v>310</v>
      </c>
      <c r="K19" s="195"/>
      <c r="L19" s="27">
        <f t="shared" si="4"/>
        <v>412.11007338667741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5632461</v>
      </c>
      <c r="E20" s="1">
        <v>5666189</v>
      </c>
      <c r="F20" s="41">
        <f t="shared" si="0"/>
        <v>33.728000000000002</v>
      </c>
      <c r="G20" s="22">
        <f t="shared" si="1"/>
        <v>133.61204776761701</v>
      </c>
      <c r="H20" s="45">
        <f t="shared" si="2"/>
        <v>17.727061364084637</v>
      </c>
      <c r="I20" s="42">
        <f t="shared" si="3"/>
        <v>151.33910913170166</v>
      </c>
      <c r="J20" s="30">
        <f t="shared" si="5"/>
        <v>310</v>
      </c>
      <c r="K20" s="195"/>
      <c r="L20" s="27">
        <f t="shared" si="4"/>
        <v>461.33910913170166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1862634</v>
      </c>
      <c r="E21" s="1">
        <v>1881634</v>
      </c>
      <c r="F21" s="41">
        <f t="shared" si="0"/>
        <v>19</v>
      </c>
      <c r="G21" s="22">
        <f t="shared" si="1"/>
        <v>75.267697686928457</v>
      </c>
      <c r="H21" s="45">
        <f t="shared" si="2"/>
        <v>17.727061364084637</v>
      </c>
      <c r="I21" s="42">
        <f t="shared" si="3"/>
        <v>92.994759051013091</v>
      </c>
      <c r="J21" s="30">
        <f t="shared" si="5"/>
        <v>310</v>
      </c>
      <c r="K21" s="195"/>
      <c r="L21" s="27">
        <f t="shared" si="4"/>
        <v>402.99475905101309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283736</v>
      </c>
      <c r="E22" s="1">
        <v>286727</v>
      </c>
      <c r="F22" s="41">
        <f t="shared" si="0"/>
        <v>2.9910000000000001</v>
      </c>
      <c r="G22" s="22">
        <f t="shared" si="1"/>
        <v>11.848720199031739</v>
      </c>
      <c r="H22" s="45">
        <f t="shared" si="2"/>
        <v>17.727061364084637</v>
      </c>
      <c r="I22" s="42">
        <f t="shared" si="3"/>
        <v>29.575781563116376</v>
      </c>
      <c r="J22" s="30">
        <f t="shared" si="5"/>
        <v>310</v>
      </c>
      <c r="K22" s="195"/>
      <c r="L22" s="27">
        <f t="shared" si="4"/>
        <v>339.57578156311638</v>
      </c>
    </row>
    <row r="23" spans="1:12" ht="15" customHeight="1" x14ac:dyDescent="0.45">
      <c r="A23" s="314"/>
      <c r="B23" s="5" t="s">
        <v>4</v>
      </c>
      <c r="C23" s="2">
        <v>101</v>
      </c>
      <c r="D23" s="1">
        <v>81070</v>
      </c>
      <c r="E23" s="1">
        <v>81927</v>
      </c>
      <c r="F23" s="41">
        <f>(E23-D23)*0.01</f>
        <v>8.57</v>
      </c>
      <c r="G23" s="22">
        <f t="shared" si="1"/>
        <v>33.949693114577734</v>
      </c>
      <c r="H23" s="45">
        <f t="shared" si="2"/>
        <v>17.727061364084637</v>
      </c>
      <c r="I23" s="42">
        <f t="shared" si="3"/>
        <v>51.676754478662374</v>
      </c>
      <c r="J23" s="30">
        <f t="shared" si="5"/>
        <v>310</v>
      </c>
      <c r="K23" s="195"/>
      <c r="L23" s="27">
        <f t="shared" si="4"/>
        <v>361.67675447866236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3397699</v>
      </c>
      <c r="E24" s="1">
        <v>3422215</v>
      </c>
      <c r="F24" s="41">
        <f t="shared" ref="F24:F32" si="6">(E24-D24)*$N$1</f>
        <v>24.516000000000002</v>
      </c>
      <c r="G24" s="22">
        <f t="shared" si="1"/>
        <v>97.119098762775693</v>
      </c>
      <c r="H24" s="45">
        <f t="shared" si="2"/>
        <v>17.727061364084637</v>
      </c>
      <c r="I24" s="42">
        <f t="shared" si="3"/>
        <v>114.84616012686033</v>
      </c>
      <c r="J24" s="30">
        <f t="shared" si="5"/>
        <v>310</v>
      </c>
      <c r="K24" s="195">
        <v>10</v>
      </c>
      <c r="L24" s="27">
        <f t="shared" si="4"/>
        <v>434.84616012686035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3412970</v>
      </c>
      <c r="E25" s="1">
        <v>3429576</v>
      </c>
      <c r="F25" s="41">
        <f t="shared" si="6"/>
        <v>16.606000000000002</v>
      </c>
      <c r="G25" s="22">
        <f t="shared" si="1"/>
        <v>65.783967778375484</v>
      </c>
      <c r="H25" s="45">
        <f t="shared" si="2"/>
        <v>17.727061364084637</v>
      </c>
      <c r="I25" s="42">
        <f t="shared" si="3"/>
        <v>83.511029142460117</v>
      </c>
      <c r="J25" s="30">
        <f t="shared" si="5"/>
        <v>310</v>
      </c>
      <c r="K25" s="195"/>
      <c r="L25" s="27">
        <f t="shared" si="4"/>
        <v>393.51102914246013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5230431</v>
      </c>
      <c r="E26" s="1">
        <v>5247887</v>
      </c>
      <c r="F26" s="41">
        <f t="shared" si="6"/>
        <v>17.456</v>
      </c>
      <c r="G26" s="22">
        <f t="shared" si="1"/>
        <v>69.151206885422269</v>
      </c>
      <c r="H26" s="45">
        <f t="shared" si="2"/>
        <v>17.727061364084637</v>
      </c>
      <c r="I26" s="42">
        <f t="shared" si="3"/>
        <v>86.878268249506903</v>
      </c>
      <c r="J26" s="30">
        <f t="shared" si="5"/>
        <v>310</v>
      </c>
      <c r="K26" s="195"/>
      <c r="L26" s="27">
        <f t="shared" si="4"/>
        <v>396.8782682495069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2683024</v>
      </c>
      <c r="E27" s="1">
        <v>2709117</v>
      </c>
      <c r="F27" s="41">
        <f t="shared" si="6"/>
        <v>26.093</v>
      </c>
      <c r="G27" s="22">
        <f t="shared" si="1"/>
        <v>103.36631767079075</v>
      </c>
      <c r="H27" s="45">
        <f t="shared" si="2"/>
        <v>17.727061364084637</v>
      </c>
      <c r="I27" s="42">
        <f t="shared" si="3"/>
        <v>121.09337903487538</v>
      </c>
      <c r="J27" s="30">
        <f t="shared" si="5"/>
        <v>310</v>
      </c>
      <c r="K27" s="195"/>
      <c r="L27" s="27">
        <f t="shared" si="4"/>
        <v>431.0933790348754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2533753</v>
      </c>
      <c r="E28" s="1">
        <v>2543939</v>
      </c>
      <c r="F28" s="41">
        <f t="shared" si="6"/>
        <v>10.186</v>
      </c>
      <c r="G28" s="22">
        <f t="shared" si="1"/>
        <v>40.351408875739651</v>
      </c>
      <c r="H28" s="45">
        <f t="shared" si="2"/>
        <v>17.727061364084637</v>
      </c>
      <c r="I28" s="42">
        <f t="shared" si="3"/>
        <v>58.078470239824284</v>
      </c>
      <c r="J28" s="30">
        <f t="shared" si="5"/>
        <v>310</v>
      </c>
      <c r="K28" s="195"/>
      <c r="L28" s="27">
        <f t="shared" si="4"/>
        <v>368.0784702398243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2410769</v>
      </c>
      <c r="E29" s="1">
        <v>2422631</v>
      </c>
      <c r="F29" s="41">
        <f t="shared" si="6"/>
        <v>11.862</v>
      </c>
      <c r="G29" s="22">
        <f t="shared" si="1"/>
        <v>46.990812103281336</v>
      </c>
      <c r="H29" s="45">
        <f t="shared" si="2"/>
        <v>17.727061364084637</v>
      </c>
      <c r="I29" s="42">
        <f t="shared" si="3"/>
        <v>64.717873467365976</v>
      </c>
      <c r="J29" s="30">
        <f t="shared" si="5"/>
        <v>310</v>
      </c>
      <c r="K29" s="195">
        <v>10</v>
      </c>
      <c r="L29" s="27">
        <f t="shared" si="4"/>
        <v>384.71787346736596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2751158</v>
      </c>
      <c r="E30" s="1">
        <v>2765171</v>
      </c>
      <c r="F30" s="41">
        <f t="shared" si="6"/>
        <v>14.013</v>
      </c>
      <c r="G30" s="22">
        <f t="shared" si="1"/>
        <v>55.511907772996238</v>
      </c>
      <c r="H30" s="45">
        <f t="shared" si="2"/>
        <v>17.727061364084637</v>
      </c>
      <c r="I30" s="42">
        <f t="shared" si="3"/>
        <v>73.238969137080872</v>
      </c>
      <c r="J30" s="30">
        <f t="shared" si="5"/>
        <v>310</v>
      </c>
      <c r="K30" s="195"/>
      <c r="L30" s="27">
        <f t="shared" si="4"/>
        <v>383.23896913708086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4192094</v>
      </c>
      <c r="E31" s="1">
        <v>4203849</v>
      </c>
      <c r="F31" s="41">
        <f t="shared" si="6"/>
        <v>11.755000000000001</v>
      </c>
      <c r="G31" s="22">
        <f t="shared" si="1"/>
        <v>46.566936121570741</v>
      </c>
      <c r="H31" s="45">
        <f t="shared" si="2"/>
        <v>17.727061364084637</v>
      </c>
      <c r="I31" s="42">
        <f t="shared" si="3"/>
        <v>64.293997485655382</v>
      </c>
      <c r="J31" s="30">
        <f t="shared" si="5"/>
        <v>310</v>
      </c>
      <c r="K31" s="195"/>
      <c r="L31" s="27">
        <f t="shared" si="4"/>
        <v>374.29399748565538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2513447</v>
      </c>
      <c r="E32" s="1">
        <v>2527071</v>
      </c>
      <c r="F32" s="41">
        <f t="shared" si="6"/>
        <v>13.624000000000001</v>
      </c>
      <c r="G32" s="22">
        <f t="shared" si="1"/>
        <v>53.970900699300707</v>
      </c>
      <c r="H32" s="45">
        <f t="shared" si="2"/>
        <v>17.727061364084637</v>
      </c>
      <c r="I32" s="42">
        <f t="shared" si="3"/>
        <v>71.697962063385347</v>
      </c>
      <c r="J32" s="30">
        <f t="shared" si="5"/>
        <v>310</v>
      </c>
      <c r="K32" s="195"/>
      <c r="L32" s="27">
        <f t="shared" si="4"/>
        <v>381.69796206338538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112352</v>
      </c>
      <c r="E33" s="1">
        <v>113511</v>
      </c>
      <c r="F33" s="41">
        <f>(E33-D33)*0.01</f>
        <v>11.59</v>
      </c>
      <c r="G33" s="22">
        <f t="shared" si="1"/>
        <v>45.913295589026362</v>
      </c>
      <c r="H33" s="45">
        <f t="shared" si="2"/>
        <v>17.727061364084637</v>
      </c>
      <c r="I33" s="42">
        <f t="shared" si="3"/>
        <v>63.640356953110995</v>
      </c>
      <c r="J33" s="30">
        <f t="shared" si="5"/>
        <v>310</v>
      </c>
      <c r="K33" s="195"/>
      <c r="L33" s="27">
        <f t="shared" si="4"/>
        <v>373.640356953111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3350069</v>
      </c>
      <c r="E34" s="1">
        <v>3376259</v>
      </c>
      <c r="F34" s="41">
        <f t="shared" ref="F34:F42" si="7">(E34-D34)*$N$1</f>
        <v>26.19</v>
      </c>
      <c r="G34" s="22">
        <f t="shared" si="1"/>
        <v>103.75057907477139</v>
      </c>
      <c r="H34" s="45">
        <f t="shared" si="2"/>
        <v>17.727061364084637</v>
      </c>
      <c r="I34" s="42">
        <f t="shared" si="3"/>
        <v>121.47764043885603</v>
      </c>
      <c r="J34" s="30">
        <f t="shared" si="5"/>
        <v>310</v>
      </c>
      <c r="K34" s="195"/>
      <c r="L34" s="27">
        <f t="shared" si="4"/>
        <v>431.47764043885604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3260104</v>
      </c>
      <c r="E35" s="1">
        <v>3268397</v>
      </c>
      <c r="F35" s="41">
        <f t="shared" si="7"/>
        <v>8.293000000000001</v>
      </c>
      <c r="G35" s="22">
        <f t="shared" si="1"/>
        <v>32.852369311457778</v>
      </c>
      <c r="H35" s="45">
        <f t="shared" si="2"/>
        <v>17.727061364084637</v>
      </c>
      <c r="I35" s="42">
        <f t="shared" si="3"/>
        <v>50.579430675542412</v>
      </c>
      <c r="J35" s="30">
        <f t="shared" si="5"/>
        <v>310</v>
      </c>
      <c r="K35" s="195">
        <v>10</v>
      </c>
      <c r="L35" s="27">
        <f t="shared" si="4"/>
        <v>370.57943067554243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1287694</v>
      </c>
      <c r="E36" s="1">
        <v>1299006</v>
      </c>
      <c r="F36" s="41">
        <f t="shared" si="7"/>
        <v>11.311999999999999</v>
      </c>
      <c r="G36" s="22">
        <f t="shared" si="1"/>
        <v>44.812010328133404</v>
      </c>
      <c r="H36" s="45">
        <f t="shared" si="2"/>
        <v>17.727061364084637</v>
      </c>
      <c r="I36" s="42">
        <f t="shared" si="3"/>
        <v>62.539071692218045</v>
      </c>
      <c r="J36" s="30">
        <f t="shared" si="5"/>
        <v>310</v>
      </c>
      <c r="K36" s="195"/>
      <c r="L36" s="27">
        <f t="shared" si="4"/>
        <v>372.53907169221804</v>
      </c>
    </row>
    <row r="37" spans="1:12" ht="15" customHeight="1" x14ac:dyDescent="0.45">
      <c r="A37" s="314"/>
      <c r="B37" s="5" t="s">
        <v>4</v>
      </c>
      <c r="C37" s="2">
        <v>403</v>
      </c>
      <c r="D37" s="1">
        <v>0</v>
      </c>
      <c r="E37" s="1">
        <v>13726</v>
      </c>
      <c r="F37" s="41">
        <f t="shared" si="7"/>
        <v>13.726000000000001</v>
      </c>
      <c r="G37" s="22">
        <f t="shared" si="1"/>
        <v>54.374969392146319</v>
      </c>
      <c r="H37" s="45">
        <f t="shared" si="2"/>
        <v>17.727061364084637</v>
      </c>
      <c r="I37" s="42">
        <f t="shared" si="3"/>
        <v>72.10203075623096</v>
      </c>
      <c r="J37" s="30">
        <f t="shared" si="5"/>
        <v>310</v>
      </c>
      <c r="K37" s="195"/>
      <c r="L37" s="27">
        <f t="shared" si="4"/>
        <v>382.10203075623099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3773523</v>
      </c>
      <c r="E38" s="1">
        <v>3794948</v>
      </c>
      <c r="F38" s="41">
        <f t="shared" si="7"/>
        <v>21.425000000000001</v>
      </c>
      <c r="G38" s="22">
        <f t="shared" si="1"/>
        <v>84.874232786444338</v>
      </c>
      <c r="H38" s="45">
        <f t="shared" si="2"/>
        <v>17.727061364084637</v>
      </c>
      <c r="I38" s="42">
        <f t="shared" si="3"/>
        <v>102.60129415052897</v>
      </c>
      <c r="J38" s="30">
        <f t="shared" si="5"/>
        <v>310</v>
      </c>
      <c r="K38" s="195"/>
      <c r="L38" s="27">
        <f t="shared" si="4"/>
        <v>412.60129415052899</v>
      </c>
    </row>
    <row r="39" spans="1:12" ht="15" customHeight="1" x14ac:dyDescent="0.45">
      <c r="A39" s="314"/>
      <c r="B39" s="5" t="s">
        <v>4</v>
      </c>
      <c r="C39" s="2">
        <v>501</v>
      </c>
      <c r="D39" s="1">
        <v>4947138</v>
      </c>
      <c r="E39" s="1">
        <v>5003882</v>
      </c>
      <c r="F39" s="41">
        <f t="shared" si="7"/>
        <v>56.744</v>
      </c>
      <c r="G39" s="22">
        <f t="shared" si="1"/>
        <v>224.78895987089834</v>
      </c>
      <c r="H39" s="45">
        <f t="shared" si="2"/>
        <v>17.727061364084637</v>
      </c>
      <c r="I39" s="42">
        <f t="shared" si="3"/>
        <v>242.51602123498299</v>
      </c>
      <c r="J39" s="30">
        <f t="shared" si="5"/>
        <v>310</v>
      </c>
      <c r="K39" s="195"/>
      <c r="L39" s="27">
        <f t="shared" si="4"/>
        <v>552.51602123498299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6602985</v>
      </c>
      <c r="E40" s="1">
        <v>6629632</v>
      </c>
      <c r="F40" s="41">
        <f t="shared" si="7"/>
        <v>26.647000000000002</v>
      </c>
      <c r="G40" s="22">
        <f t="shared" si="1"/>
        <v>105.56096527703068</v>
      </c>
      <c r="H40" s="45">
        <f t="shared" si="2"/>
        <v>17.727061364084637</v>
      </c>
      <c r="I40" s="42">
        <f t="shared" si="3"/>
        <v>123.28802664111531</v>
      </c>
      <c r="J40" s="30">
        <f t="shared" si="5"/>
        <v>310</v>
      </c>
      <c r="K40" s="195"/>
      <c r="L40" s="27">
        <f t="shared" si="4"/>
        <v>433.28802664111532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3689272</v>
      </c>
      <c r="E41" s="1">
        <v>3709496</v>
      </c>
      <c r="F41" s="41">
        <f t="shared" si="7"/>
        <v>20.224</v>
      </c>
      <c r="G41" s="22">
        <f t="shared" si="1"/>
        <v>80.11652200107585</v>
      </c>
      <c r="H41" s="45">
        <f t="shared" si="2"/>
        <v>17.727061364084637</v>
      </c>
      <c r="I41" s="42">
        <f t="shared" si="3"/>
        <v>97.843583365160484</v>
      </c>
      <c r="J41" s="30">
        <f t="shared" si="5"/>
        <v>310</v>
      </c>
      <c r="K41" s="195"/>
      <c r="L41" s="27">
        <f t="shared" si="4"/>
        <v>407.8435833651605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2947248</v>
      </c>
      <c r="E42" s="1">
        <v>2953108</v>
      </c>
      <c r="F42" s="41">
        <f t="shared" si="7"/>
        <v>5.86</v>
      </c>
      <c r="G42" s="22">
        <f t="shared" si="1"/>
        <v>23.214142549757938</v>
      </c>
      <c r="H42" s="45">
        <f t="shared" si="2"/>
        <v>17.727061364084637</v>
      </c>
      <c r="I42" s="42">
        <f t="shared" si="3"/>
        <v>40.941203913842571</v>
      </c>
      <c r="J42" s="30">
        <f t="shared" si="5"/>
        <v>310</v>
      </c>
      <c r="K42" s="195"/>
      <c r="L42" s="27">
        <f t="shared" si="4"/>
        <v>350.94120391384257</v>
      </c>
    </row>
    <row r="43" spans="1:12" ht="15" customHeight="1" x14ac:dyDescent="0.45">
      <c r="A43" s="318"/>
      <c r="B43" s="5" t="s">
        <v>5</v>
      </c>
      <c r="C43" s="2">
        <v>101</v>
      </c>
      <c r="D43" s="1">
        <v>28345</v>
      </c>
      <c r="E43" s="1">
        <v>28923</v>
      </c>
      <c r="F43" s="41">
        <f>(E43-D43)*0.01</f>
        <v>5.78</v>
      </c>
      <c r="G43" s="22">
        <f t="shared" si="1"/>
        <v>22.897225927918239</v>
      </c>
      <c r="H43" s="45">
        <f t="shared" si="2"/>
        <v>17.727061364084637</v>
      </c>
      <c r="I43" s="42">
        <f t="shared" si="3"/>
        <v>40.624287292002876</v>
      </c>
      <c r="J43" s="30">
        <f t="shared" si="5"/>
        <v>310</v>
      </c>
      <c r="K43" s="195"/>
      <c r="L43" s="27">
        <f t="shared" si="4"/>
        <v>350.62428729200286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2888628</v>
      </c>
      <c r="E44" s="1">
        <v>2906666</v>
      </c>
      <c r="F44" s="41">
        <f t="shared" ref="F44:F56" si="8">(E44-D44)*$N$1</f>
        <v>18.038</v>
      </c>
      <c r="G44" s="22">
        <f t="shared" si="1"/>
        <v>71.456775309306082</v>
      </c>
      <c r="H44" s="45">
        <f t="shared" si="2"/>
        <v>17.727061364084637</v>
      </c>
      <c r="I44" s="42">
        <f t="shared" si="3"/>
        <v>89.183836673390715</v>
      </c>
      <c r="J44" s="30">
        <f t="shared" si="5"/>
        <v>310</v>
      </c>
      <c r="K44" s="195"/>
      <c r="L44" s="27">
        <f t="shared" si="4"/>
        <v>399.18383667339072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986278</v>
      </c>
      <c r="E45" s="1">
        <v>986841</v>
      </c>
      <c r="F45" s="41">
        <f t="shared" si="8"/>
        <v>0.56300000000000006</v>
      </c>
      <c r="G45" s="22">
        <f t="shared" si="1"/>
        <v>2.2303007261968806</v>
      </c>
      <c r="H45" s="45">
        <f t="shared" si="2"/>
        <v>17.727061364084637</v>
      </c>
      <c r="I45" s="42">
        <f t="shared" si="3"/>
        <v>19.957362090281517</v>
      </c>
      <c r="J45" s="30">
        <f t="shared" si="5"/>
        <v>310</v>
      </c>
      <c r="K45" s="195"/>
      <c r="L45" s="27">
        <f t="shared" si="4"/>
        <v>329.95736209028149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4176249</v>
      </c>
      <c r="E46" s="1">
        <v>4198463</v>
      </c>
      <c r="F46" s="41">
        <f t="shared" si="8"/>
        <v>22.214000000000002</v>
      </c>
      <c r="G46" s="22">
        <f t="shared" si="1"/>
        <v>87.999822969338368</v>
      </c>
      <c r="H46" s="45">
        <f t="shared" si="2"/>
        <v>17.727061364084637</v>
      </c>
      <c r="I46" s="42">
        <f t="shared" si="3"/>
        <v>105.726884333423</v>
      </c>
      <c r="J46" s="30">
        <f t="shared" si="5"/>
        <v>310</v>
      </c>
      <c r="K46" s="195"/>
      <c r="L46" s="27">
        <f t="shared" si="4"/>
        <v>415.72688433342302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3933977</v>
      </c>
      <c r="E47" s="1">
        <v>3960286</v>
      </c>
      <c r="F47" s="41">
        <f t="shared" si="8"/>
        <v>26.309000000000001</v>
      </c>
      <c r="G47" s="22">
        <f t="shared" si="1"/>
        <v>104.22199254975794</v>
      </c>
      <c r="H47" s="45">
        <f t="shared" si="2"/>
        <v>17.727061364084637</v>
      </c>
      <c r="I47" s="42">
        <f t="shared" si="3"/>
        <v>121.94905391384258</v>
      </c>
      <c r="J47" s="30">
        <f t="shared" si="5"/>
        <v>310</v>
      </c>
      <c r="K47" s="195"/>
      <c r="L47" s="27">
        <f t="shared" si="4"/>
        <v>431.94905391384259</v>
      </c>
    </row>
    <row r="48" spans="1:12" ht="15" customHeight="1" x14ac:dyDescent="0.45">
      <c r="A48" s="318"/>
      <c r="B48" s="5" t="s">
        <v>5</v>
      </c>
      <c r="C48" s="2">
        <v>202</v>
      </c>
      <c r="D48" s="1">
        <v>2963625</v>
      </c>
      <c r="E48" s="1">
        <v>2991967</v>
      </c>
      <c r="F48" s="41">
        <f t="shared" si="8"/>
        <v>28.342000000000002</v>
      </c>
      <c r="G48" s="22">
        <f t="shared" si="1"/>
        <v>112.27563620225929</v>
      </c>
      <c r="H48" s="45">
        <f t="shared" si="2"/>
        <v>17.727061364084637</v>
      </c>
      <c r="I48" s="42">
        <f t="shared" si="3"/>
        <v>130.00269756634393</v>
      </c>
      <c r="J48" s="30">
        <f t="shared" si="5"/>
        <v>310</v>
      </c>
      <c r="K48" s="195">
        <v>10</v>
      </c>
      <c r="L48" s="27">
        <f t="shared" si="4"/>
        <v>450.00269756634395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2358792</v>
      </c>
      <c r="E49" s="1">
        <v>2378149</v>
      </c>
      <c r="F49" s="41">
        <f t="shared" si="8"/>
        <v>19.356999999999999</v>
      </c>
      <c r="G49" s="22">
        <f t="shared" si="1"/>
        <v>76.681938111888115</v>
      </c>
      <c r="H49" s="45">
        <f t="shared" si="2"/>
        <v>17.727061364084637</v>
      </c>
      <c r="I49" s="42">
        <f t="shared" si="3"/>
        <v>94.408999475972749</v>
      </c>
      <c r="J49" s="30">
        <f t="shared" si="5"/>
        <v>310</v>
      </c>
      <c r="K49" s="195"/>
      <c r="L49" s="27">
        <f t="shared" si="4"/>
        <v>404.40899947597273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2276933</v>
      </c>
      <c r="E50" s="1">
        <v>2287190</v>
      </c>
      <c r="F50" s="41">
        <f t="shared" si="8"/>
        <v>10.257</v>
      </c>
      <c r="G50" s="22">
        <f t="shared" si="1"/>
        <v>40.632672377622377</v>
      </c>
      <c r="H50" s="45">
        <f t="shared" si="2"/>
        <v>17.727061364084637</v>
      </c>
      <c r="I50" s="42">
        <f t="shared" si="3"/>
        <v>58.359733741707018</v>
      </c>
      <c r="J50" s="30">
        <f t="shared" si="5"/>
        <v>310</v>
      </c>
      <c r="K50" s="195"/>
      <c r="L50" s="27">
        <f t="shared" si="4"/>
        <v>368.35973374170703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2699171</v>
      </c>
      <c r="E51" s="1">
        <v>2707251</v>
      </c>
      <c r="F51" s="41">
        <f t="shared" si="8"/>
        <v>8.08</v>
      </c>
      <c r="G51" s="22">
        <f t="shared" si="1"/>
        <v>32.008578805809577</v>
      </c>
      <c r="H51" s="45">
        <f t="shared" si="2"/>
        <v>17.727061364084637</v>
      </c>
      <c r="I51" s="42">
        <f>SUM(G51,H51)</f>
        <v>49.735640169894211</v>
      </c>
      <c r="J51" s="30">
        <f t="shared" si="5"/>
        <v>310</v>
      </c>
      <c r="K51" s="195"/>
      <c r="L51" s="27">
        <f t="shared" si="4"/>
        <v>359.73564016989422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4056395</v>
      </c>
      <c r="E52" s="1">
        <v>4071896</v>
      </c>
      <c r="F52" s="41">
        <f t="shared" si="8"/>
        <v>15.500999999999999</v>
      </c>
      <c r="G52" s="22">
        <f t="shared" si="1"/>
        <v>61.406556939214632</v>
      </c>
      <c r="H52" s="45">
        <f t="shared" si="2"/>
        <v>17.727061364084637</v>
      </c>
      <c r="I52" s="42">
        <f t="shared" si="3"/>
        <v>79.133618303299272</v>
      </c>
      <c r="J52" s="30">
        <f t="shared" si="5"/>
        <v>310</v>
      </c>
      <c r="K52" s="195"/>
      <c r="L52" s="27">
        <f t="shared" si="4"/>
        <v>389.13361830329927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3664883</v>
      </c>
      <c r="E53" s="1">
        <v>3676149</v>
      </c>
      <c r="F53" s="41">
        <f t="shared" si="8"/>
        <v>11.266</v>
      </c>
      <c r="G53" s="22">
        <f t="shared" si="1"/>
        <v>44.629783270575579</v>
      </c>
      <c r="H53" s="45">
        <f t="shared" si="2"/>
        <v>17.727061364084637</v>
      </c>
      <c r="I53" s="42">
        <f t="shared" si="3"/>
        <v>62.35684463466022</v>
      </c>
      <c r="J53" s="30">
        <f t="shared" si="5"/>
        <v>310</v>
      </c>
      <c r="K53" s="195"/>
      <c r="L53" s="27">
        <f t="shared" si="4"/>
        <v>372.35684463466021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2906159</v>
      </c>
      <c r="E54" s="1">
        <v>2917702</v>
      </c>
      <c r="F54" s="41">
        <f t="shared" si="8"/>
        <v>11.543000000000001</v>
      </c>
      <c r="G54" s="22">
        <f t="shared" si="1"/>
        <v>45.727107073695542</v>
      </c>
      <c r="H54" s="45">
        <f t="shared" si="2"/>
        <v>17.727061364084637</v>
      </c>
      <c r="I54" s="42">
        <f t="shared" si="3"/>
        <v>63.454168437780183</v>
      </c>
      <c r="J54" s="30">
        <f t="shared" si="5"/>
        <v>310</v>
      </c>
      <c r="K54" s="195"/>
      <c r="L54" s="27">
        <f t="shared" si="4"/>
        <v>373.4541684377802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3029469</v>
      </c>
      <c r="E55" s="1">
        <v>3029471</v>
      </c>
      <c r="F55" s="41">
        <f t="shared" si="8"/>
        <v>2E-3</v>
      </c>
      <c r="G55" s="22">
        <f t="shared" si="1"/>
        <v>7.9229155459924691E-3</v>
      </c>
      <c r="H55" s="45">
        <f t="shared" si="2"/>
        <v>17.727061364084637</v>
      </c>
      <c r="I55" s="42">
        <f t="shared" si="3"/>
        <v>17.734984279630631</v>
      </c>
      <c r="J55" s="30">
        <f t="shared" si="5"/>
        <v>310</v>
      </c>
      <c r="K55" s="195"/>
      <c r="L55" s="27">
        <f t="shared" si="4"/>
        <v>327.73498427963062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1318610</v>
      </c>
      <c r="E56" s="1">
        <v>1320971</v>
      </c>
      <c r="F56" s="41">
        <f t="shared" si="8"/>
        <v>2.3610000000000002</v>
      </c>
      <c r="G56" s="22">
        <f t="shared" si="1"/>
        <v>9.3530018020441119</v>
      </c>
      <c r="H56" s="45">
        <f t="shared" si="2"/>
        <v>17.727061364084637</v>
      </c>
      <c r="I56" s="42">
        <f t="shared" si="3"/>
        <v>27.080063166128749</v>
      </c>
      <c r="J56" s="30">
        <f t="shared" si="5"/>
        <v>310</v>
      </c>
      <c r="K56" s="195"/>
      <c r="L56" s="27">
        <f t="shared" si="4"/>
        <v>337.08006316612875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161742</v>
      </c>
      <c r="E57" s="1">
        <v>163438</v>
      </c>
      <c r="F57" s="41">
        <f>(E57-D57)*0.01</f>
        <v>16.96</v>
      </c>
      <c r="G57" s="22">
        <f t="shared" si="1"/>
        <v>67.18632383001615</v>
      </c>
      <c r="H57" s="45">
        <f t="shared" si="2"/>
        <v>17.727061364084637</v>
      </c>
      <c r="I57" s="42">
        <f t="shared" si="3"/>
        <v>84.913385194100783</v>
      </c>
      <c r="J57" s="30">
        <f t="shared" si="5"/>
        <v>310</v>
      </c>
      <c r="K57" s="195"/>
      <c r="L57" s="27">
        <f t="shared" si="4"/>
        <v>394.91338519410078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1950329</v>
      </c>
      <c r="E58" s="1">
        <v>1960473</v>
      </c>
      <c r="F58" s="41">
        <f t="shared" ref="F58:F87" si="9">(E58-D58)*$N$1</f>
        <v>10.144</v>
      </c>
      <c r="G58" s="22">
        <f t="shared" si="1"/>
        <v>40.185027649273806</v>
      </c>
      <c r="H58" s="45">
        <f t="shared" si="2"/>
        <v>17.727061364084637</v>
      </c>
      <c r="I58" s="42">
        <f t="shared" si="3"/>
        <v>57.91208901335844</v>
      </c>
      <c r="J58" s="30">
        <f t="shared" si="5"/>
        <v>310</v>
      </c>
      <c r="K58" s="195"/>
      <c r="L58" s="27">
        <f t="shared" si="4"/>
        <v>367.91208901335847</v>
      </c>
    </row>
    <row r="59" spans="1:12" ht="15" customHeight="1" x14ac:dyDescent="0.45">
      <c r="A59" s="318"/>
      <c r="B59" s="5" t="s">
        <v>5</v>
      </c>
      <c r="C59" s="2">
        <v>501</v>
      </c>
      <c r="D59" s="1">
        <v>2920005</v>
      </c>
      <c r="E59" s="1">
        <v>2933013</v>
      </c>
      <c r="F59" s="41">
        <f t="shared" si="9"/>
        <v>13.008000000000001</v>
      </c>
      <c r="G59" s="22">
        <f t="shared" si="1"/>
        <v>51.530642711135023</v>
      </c>
      <c r="H59" s="45">
        <f t="shared" si="2"/>
        <v>17.727061364084637</v>
      </c>
      <c r="I59" s="42">
        <f t="shared" si="3"/>
        <v>69.257704075219664</v>
      </c>
      <c r="J59" s="30">
        <f t="shared" si="5"/>
        <v>310</v>
      </c>
      <c r="K59" s="195"/>
      <c r="L59" s="27">
        <f t="shared" si="4"/>
        <v>379.25770407521964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3457169</v>
      </c>
      <c r="E60" s="1">
        <v>3469183</v>
      </c>
      <c r="F60" s="41">
        <f t="shared" si="9"/>
        <v>12.014000000000001</v>
      </c>
      <c r="G60" s="22">
        <f t="shared" si="1"/>
        <v>47.592953684776766</v>
      </c>
      <c r="H60" s="45">
        <f t="shared" si="2"/>
        <v>17.727061364084637</v>
      </c>
      <c r="I60" s="42">
        <f t="shared" si="3"/>
        <v>65.320015048861407</v>
      </c>
      <c r="J60" s="30">
        <f t="shared" si="5"/>
        <v>310</v>
      </c>
      <c r="K60" s="195"/>
      <c r="L60" s="27">
        <f t="shared" si="4"/>
        <v>375.32001504886142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4423976</v>
      </c>
      <c r="E61" s="1">
        <v>4453856</v>
      </c>
      <c r="F61" s="41">
        <f t="shared" si="9"/>
        <v>29.88</v>
      </c>
      <c r="G61" s="22">
        <f t="shared" si="1"/>
        <v>118.3683582571275</v>
      </c>
      <c r="H61" s="45">
        <f t="shared" si="2"/>
        <v>17.727061364084637</v>
      </c>
      <c r="I61" s="42">
        <f t="shared" si="3"/>
        <v>136.09541962121213</v>
      </c>
      <c r="J61" s="30">
        <f t="shared" si="5"/>
        <v>310</v>
      </c>
      <c r="K61" s="195"/>
      <c r="L61" s="27">
        <f t="shared" si="4"/>
        <v>446.09541962121216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2103174</v>
      </c>
      <c r="E62" s="1">
        <v>2121974</v>
      </c>
      <c r="F62" s="41">
        <f t="shared" si="9"/>
        <v>18.8</v>
      </c>
      <c r="G62" s="22">
        <f t="shared" si="1"/>
        <v>74.475406132329212</v>
      </c>
      <c r="H62" s="45">
        <f t="shared" si="2"/>
        <v>17.727061364084637</v>
      </c>
      <c r="I62" s="42">
        <f t="shared" si="3"/>
        <v>92.202467496413846</v>
      </c>
      <c r="J62" s="30">
        <f t="shared" si="5"/>
        <v>310</v>
      </c>
      <c r="K62" s="195"/>
      <c r="L62" s="27">
        <f t="shared" si="4"/>
        <v>402.20246749641387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4847099</v>
      </c>
      <c r="E63" s="1">
        <v>4865793</v>
      </c>
      <c r="F63" s="41">
        <f t="shared" si="9"/>
        <v>18.693999999999999</v>
      </c>
      <c r="G63" s="22">
        <f t="shared" si="1"/>
        <v>74.055491608391605</v>
      </c>
      <c r="H63" s="45">
        <f t="shared" si="2"/>
        <v>17.727061364084637</v>
      </c>
      <c r="I63" s="42">
        <f t="shared" si="3"/>
        <v>91.782552972476239</v>
      </c>
      <c r="J63" s="30">
        <f t="shared" si="5"/>
        <v>310</v>
      </c>
      <c r="K63" s="195"/>
      <c r="L63" s="27">
        <f t="shared" si="4"/>
        <v>401.78255297247625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4666665</v>
      </c>
      <c r="E64" s="1">
        <v>4673352</v>
      </c>
      <c r="F64" s="41">
        <f t="shared" si="9"/>
        <v>6.6870000000000003</v>
      </c>
      <c r="G64" s="22">
        <f>MMULT($G$1,1/$F$183)*F64</f>
        <v>26.490268128025825</v>
      </c>
      <c r="H64" s="45">
        <f t="shared" si="2"/>
        <v>17.727061364084637</v>
      </c>
      <c r="I64" s="42">
        <f t="shared" si="3"/>
        <v>44.217329492110466</v>
      </c>
      <c r="J64" s="30">
        <f t="shared" si="5"/>
        <v>310</v>
      </c>
      <c r="K64" s="195"/>
      <c r="L64" s="27">
        <f t="shared" si="4"/>
        <v>354.21732949211048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3370161</v>
      </c>
      <c r="E65" s="1">
        <v>3386639</v>
      </c>
      <c r="F65" s="41">
        <f t="shared" si="9"/>
        <v>16.478000000000002</v>
      </c>
      <c r="G65" s="22">
        <f t="shared" si="1"/>
        <v>65.27690118343196</v>
      </c>
      <c r="H65" s="45">
        <f t="shared" si="2"/>
        <v>17.727061364084637</v>
      </c>
      <c r="I65" s="42">
        <f t="shared" si="3"/>
        <v>83.003962547516593</v>
      </c>
      <c r="J65" s="30">
        <f t="shared" si="5"/>
        <v>310</v>
      </c>
      <c r="K65" s="195"/>
      <c r="L65" s="27">
        <f>SUM(I65,J65,K65)</f>
        <v>393.00396254751661</v>
      </c>
    </row>
    <row r="66" spans="1:12" ht="15" customHeight="1" x14ac:dyDescent="0.45">
      <c r="A66" s="314"/>
      <c r="B66" s="5" t="s">
        <v>6</v>
      </c>
      <c r="C66" s="2">
        <v>104</v>
      </c>
      <c r="D66" s="1">
        <v>90189</v>
      </c>
      <c r="E66" s="1">
        <v>110764</v>
      </c>
      <c r="F66" s="41">
        <f t="shared" si="9"/>
        <v>20.574999999999999</v>
      </c>
      <c r="G66" s="22">
        <f t="shared" si="1"/>
        <v>81.506993679397524</v>
      </c>
      <c r="H66" s="45">
        <f t="shared" si="2"/>
        <v>17.727061364084637</v>
      </c>
      <c r="I66" s="42">
        <f t="shared" si="3"/>
        <v>99.234055043482158</v>
      </c>
      <c r="J66" s="30">
        <f t="shared" si="5"/>
        <v>310</v>
      </c>
      <c r="K66" s="195"/>
      <c r="L66" s="27">
        <f t="shared" si="4"/>
        <v>409.23405504348216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4062979</v>
      </c>
      <c r="E67" s="1">
        <v>4071743</v>
      </c>
      <c r="F67" s="41">
        <f t="shared" si="9"/>
        <v>8.7639999999999993</v>
      </c>
      <c r="G67" s="22">
        <f t="shared" si="1"/>
        <v>34.718215922539002</v>
      </c>
      <c r="H67" s="45">
        <f t="shared" si="2"/>
        <v>17.727061364084637</v>
      </c>
      <c r="I67" s="42">
        <f t="shared" si="3"/>
        <v>52.445277286623636</v>
      </c>
      <c r="J67" s="30">
        <f t="shared" si="5"/>
        <v>310</v>
      </c>
      <c r="K67" s="195"/>
      <c r="L67" s="27">
        <f t="shared" si="4"/>
        <v>362.44527728662365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4201785</v>
      </c>
      <c r="E68" s="1">
        <v>4236340</v>
      </c>
      <c r="F68" s="41">
        <f t="shared" si="9"/>
        <v>34.555</v>
      </c>
      <c r="G68" s="22">
        <f t="shared" ref="G68:G131" si="10">MMULT($G$1,1/$F$183)*F68</f>
        <v>136.88817334588489</v>
      </c>
      <c r="H68" s="45">
        <f t="shared" ref="H68:H131" si="11">MMULT($H$1,1/180)</f>
        <v>17.727061364084637</v>
      </c>
      <c r="I68" s="42">
        <f t="shared" ref="I68:I131" si="12">SUM(G68,H68)</f>
        <v>154.61523470996954</v>
      </c>
      <c r="J68" s="30">
        <f t="shared" si="5"/>
        <v>310</v>
      </c>
      <c r="K68" s="195"/>
      <c r="L68" s="27">
        <f t="shared" si="4"/>
        <v>464.61523470996951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2489059</v>
      </c>
      <c r="E69" s="1">
        <v>2492698</v>
      </c>
      <c r="F69" s="41">
        <f t="shared" si="9"/>
        <v>3.6390000000000002</v>
      </c>
      <c r="G69" s="22">
        <f t="shared" si="10"/>
        <v>14.4157448359333</v>
      </c>
      <c r="H69" s="45">
        <f t="shared" si="11"/>
        <v>17.727061364084637</v>
      </c>
      <c r="I69" s="42">
        <f t="shared" si="12"/>
        <v>32.142806200017937</v>
      </c>
      <c r="J69" s="30">
        <f t="shared" ref="J69:J132" si="13">SUM($J$3)</f>
        <v>310</v>
      </c>
      <c r="K69" s="195"/>
      <c r="L69" s="27">
        <f>SUM(I69,J69,K69)</f>
        <v>342.14280620001796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2411310</v>
      </c>
      <c r="E70" s="1">
        <v>2425071</v>
      </c>
      <c r="F70" s="41">
        <f t="shared" si="9"/>
        <v>13.761000000000001</v>
      </c>
      <c r="G70" s="22">
        <f t="shared" si="10"/>
        <v>54.513620414201192</v>
      </c>
      <c r="H70" s="45">
        <f t="shared" si="11"/>
        <v>17.727061364084637</v>
      </c>
      <c r="I70" s="42">
        <f t="shared" si="12"/>
        <v>72.240681778285833</v>
      </c>
      <c r="J70" s="30">
        <f t="shared" si="13"/>
        <v>310</v>
      </c>
      <c r="K70" s="195"/>
      <c r="L70" s="27">
        <f>SUM(I70,J70,K70)</f>
        <v>382.24068177828582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3882768</v>
      </c>
      <c r="E71" s="1">
        <v>3895564</v>
      </c>
      <c r="F71" s="41">
        <f t="shared" si="9"/>
        <v>12.796000000000001</v>
      </c>
      <c r="G71" s="22">
        <f t="shared" si="10"/>
        <v>50.690813663259824</v>
      </c>
      <c r="H71" s="45">
        <f t="shared" si="11"/>
        <v>17.727061364084637</v>
      </c>
      <c r="I71" s="42">
        <f t="shared" si="12"/>
        <v>68.417875027344465</v>
      </c>
      <c r="J71" s="30">
        <f t="shared" si="13"/>
        <v>310</v>
      </c>
      <c r="K71" s="195"/>
      <c r="L71" s="27">
        <f>SUM(I71,J71,K71)</f>
        <v>378.41787502734445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3101650</v>
      </c>
      <c r="E72" s="1">
        <v>3117942</v>
      </c>
      <c r="F72" s="41">
        <f t="shared" si="9"/>
        <v>16.292000000000002</v>
      </c>
      <c r="G72" s="22">
        <f t="shared" si="10"/>
        <v>64.540070037654658</v>
      </c>
      <c r="H72" s="45">
        <f t="shared" si="11"/>
        <v>17.727061364084637</v>
      </c>
      <c r="I72" s="42">
        <f t="shared" si="12"/>
        <v>82.267131401739292</v>
      </c>
      <c r="J72" s="30">
        <f t="shared" si="13"/>
        <v>310</v>
      </c>
      <c r="K72" s="195"/>
      <c r="L72" s="27">
        <f t="shared" ref="L72:L131" si="14">SUM(I72,J72,K72)</f>
        <v>392.26713140173928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3472739</v>
      </c>
      <c r="E73" s="1">
        <v>3480749</v>
      </c>
      <c r="F73" s="41">
        <f t="shared" si="9"/>
        <v>8.01</v>
      </c>
      <c r="G73" s="22">
        <f t="shared" si="10"/>
        <v>31.731276761699839</v>
      </c>
      <c r="H73" s="45">
        <f t="shared" si="11"/>
        <v>17.727061364084637</v>
      </c>
      <c r="I73" s="42">
        <f t="shared" si="12"/>
        <v>49.458338125784479</v>
      </c>
      <c r="J73" s="30">
        <f t="shared" si="13"/>
        <v>310</v>
      </c>
      <c r="K73" s="195"/>
      <c r="L73" s="27">
        <f t="shared" si="14"/>
        <v>359.45833812578451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1465405</v>
      </c>
      <c r="E74" s="1">
        <v>1471934</v>
      </c>
      <c r="F74" s="41">
        <f t="shared" si="9"/>
        <v>6.5289999999999999</v>
      </c>
      <c r="G74" s="22">
        <f t="shared" si="10"/>
        <v>25.864357799892417</v>
      </c>
      <c r="H74" s="45">
        <f t="shared" si="11"/>
        <v>17.727061364084637</v>
      </c>
      <c r="I74" s="42">
        <f t="shared" si="12"/>
        <v>43.591419163977051</v>
      </c>
      <c r="J74" s="30">
        <f t="shared" si="13"/>
        <v>310</v>
      </c>
      <c r="K74" s="195"/>
      <c r="L74" s="27">
        <f t="shared" si="14"/>
        <v>353.59141916397704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4737930</v>
      </c>
      <c r="E75" s="1">
        <v>4752867</v>
      </c>
      <c r="F75" s="41">
        <f t="shared" si="9"/>
        <v>14.937000000000001</v>
      </c>
      <c r="G75" s="22">
        <f t="shared" si="10"/>
        <v>59.172294755244764</v>
      </c>
      <c r="H75" s="45">
        <f t="shared" si="11"/>
        <v>17.727061364084637</v>
      </c>
      <c r="I75" s="42">
        <f t="shared" si="12"/>
        <v>76.899356119329397</v>
      </c>
      <c r="J75" s="30">
        <f t="shared" si="13"/>
        <v>310</v>
      </c>
      <c r="K75" s="195"/>
      <c r="L75" s="27">
        <f t="shared" si="14"/>
        <v>386.89935611932941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2892131</v>
      </c>
      <c r="E76" s="1">
        <v>2914223</v>
      </c>
      <c r="F76" s="41">
        <f t="shared" si="9"/>
        <v>22.091999999999999</v>
      </c>
      <c r="G76" s="22">
        <f t="shared" si="10"/>
        <v>87.516525121032814</v>
      </c>
      <c r="H76" s="45">
        <f t="shared" si="11"/>
        <v>17.727061364084637</v>
      </c>
      <c r="I76" s="42">
        <f t="shared" si="12"/>
        <v>105.24358648511745</v>
      </c>
      <c r="J76" s="30">
        <f t="shared" si="13"/>
        <v>310</v>
      </c>
      <c r="K76" s="195">
        <v>10</v>
      </c>
      <c r="L76" s="27">
        <f t="shared" si="14"/>
        <v>425.24358648511748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2676802</v>
      </c>
      <c r="E77" s="1">
        <v>2698732</v>
      </c>
      <c r="F77" s="41">
        <f t="shared" si="9"/>
        <v>21.93</v>
      </c>
      <c r="G77" s="22">
        <f t="shared" si="10"/>
        <v>86.874768961807433</v>
      </c>
      <c r="H77" s="45">
        <f t="shared" si="11"/>
        <v>17.727061364084637</v>
      </c>
      <c r="I77" s="42">
        <f t="shared" si="12"/>
        <v>104.60183032589207</v>
      </c>
      <c r="J77" s="30">
        <f t="shared" si="13"/>
        <v>310</v>
      </c>
      <c r="K77" s="195"/>
      <c r="L77" s="27">
        <f t="shared" si="14"/>
        <v>414.60183032589208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2748651</v>
      </c>
      <c r="E78" s="1">
        <v>2762640</v>
      </c>
      <c r="F78" s="41">
        <f t="shared" si="9"/>
        <v>13.989000000000001</v>
      </c>
      <c r="G78" s="22">
        <f t="shared" si="10"/>
        <v>55.416832786444331</v>
      </c>
      <c r="H78" s="45">
        <f t="shared" si="11"/>
        <v>17.727061364084637</v>
      </c>
      <c r="I78" s="42">
        <f t="shared" si="12"/>
        <v>73.143894150528965</v>
      </c>
      <c r="J78" s="30">
        <f t="shared" si="13"/>
        <v>310</v>
      </c>
      <c r="K78" s="195"/>
      <c r="L78" s="27">
        <f t="shared" si="14"/>
        <v>383.14389415052898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4674301</v>
      </c>
      <c r="E79" s="1">
        <v>4705897</v>
      </c>
      <c r="F79" s="41">
        <f t="shared" si="9"/>
        <v>31.596</v>
      </c>
      <c r="G79" s="22">
        <f t="shared" si="10"/>
        <v>125.16621979558903</v>
      </c>
      <c r="H79" s="45">
        <f t="shared" si="11"/>
        <v>17.727061364084637</v>
      </c>
      <c r="I79" s="42">
        <f t="shared" si="12"/>
        <v>142.89328115967368</v>
      </c>
      <c r="J79" s="30">
        <f t="shared" si="13"/>
        <v>310</v>
      </c>
      <c r="K79" s="195"/>
      <c r="L79" s="27">
        <f t="shared" si="14"/>
        <v>452.89328115967368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4921495</v>
      </c>
      <c r="E80" s="1">
        <v>4940897</v>
      </c>
      <c r="F80" s="41">
        <f t="shared" si="9"/>
        <v>19.402000000000001</v>
      </c>
      <c r="G80" s="22">
        <f t="shared" si="10"/>
        <v>76.860203711672952</v>
      </c>
      <c r="H80" s="45">
        <f t="shared" si="11"/>
        <v>17.727061364084637</v>
      </c>
      <c r="I80" s="42">
        <f t="shared" si="12"/>
        <v>94.587265075757585</v>
      </c>
      <c r="J80" s="30">
        <f t="shared" si="13"/>
        <v>310</v>
      </c>
      <c r="K80" s="195"/>
      <c r="L80" s="27">
        <f t="shared" si="14"/>
        <v>404.58726507575761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3138093</v>
      </c>
      <c r="E81" s="1">
        <v>3155125</v>
      </c>
      <c r="F81" s="41">
        <f t="shared" si="9"/>
        <v>17.032</v>
      </c>
      <c r="G81" s="22">
        <f t="shared" si="10"/>
        <v>67.471548789671871</v>
      </c>
      <c r="H81" s="45">
        <f t="shared" si="11"/>
        <v>17.727061364084637</v>
      </c>
      <c r="I81" s="42">
        <f t="shared" si="12"/>
        <v>85.198610153756505</v>
      </c>
      <c r="J81" s="30">
        <f t="shared" si="13"/>
        <v>310</v>
      </c>
      <c r="K81" s="195">
        <v>10</v>
      </c>
      <c r="L81" s="27">
        <f t="shared" si="14"/>
        <v>405.19861015375648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3472215</v>
      </c>
      <c r="E82" s="1">
        <v>3498900</v>
      </c>
      <c r="F82" s="41">
        <f t="shared" si="9"/>
        <v>26.685000000000002</v>
      </c>
      <c r="G82" s="22">
        <f t="shared" si="10"/>
        <v>105.71150067240454</v>
      </c>
      <c r="H82" s="45">
        <f t="shared" si="11"/>
        <v>17.727061364084637</v>
      </c>
      <c r="I82" s="42">
        <f t="shared" si="12"/>
        <v>123.43856203648917</v>
      </c>
      <c r="J82" s="30">
        <f t="shared" si="13"/>
        <v>310</v>
      </c>
      <c r="K82" s="195"/>
      <c r="L82" s="27">
        <f t="shared" si="14"/>
        <v>433.4385620364892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4758591</v>
      </c>
      <c r="E83" s="1">
        <v>4798853</v>
      </c>
      <c r="F83" s="41">
        <f t="shared" si="9"/>
        <v>40.262</v>
      </c>
      <c r="G83" s="22">
        <f t="shared" si="10"/>
        <v>159.4962128563744</v>
      </c>
      <c r="H83" s="45">
        <f t="shared" si="11"/>
        <v>17.727061364084637</v>
      </c>
      <c r="I83" s="42">
        <f t="shared" si="12"/>
        <v>177.22327422045905</v>
      </c>
      <c r="J83" s="30">
        <f t="shared" si="13"/>
        <v>310</v>
      </c>
      <c r="K83" s="195"/>
      <c r="L83" s="27">
        <f t="shared" si="14"/>
        <v>487.22327422045907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1830065</v>
      </c>
      <c r="E84" s="1">
        <v>1849682</v>
      </c>
      <c r="F84" s="41">
        <f t="shared" si="9"/>
        <v>19.617000000000001</v>
      </c>
      <c r="G84" s="22">
        <f t="shared" si="10"/>
        <v>77.711917132867143</v>
      </c>
      <c r="H84" s="45">
        <f t="shared" si="11"/>
        <v>17.727061364084637</v>
      </c>
      <c r="I84" s="42">
        <f t="shared" si="12"/>
        <v>95.438978496951776</v>
      </c>
      <c r="J84" s="30">
        <f t="shared" si="13"/>
        <v>310</v>
      </c>
      <c r="K84" s="195"/>
      <c r="L84" s="27">
        <f t="shared" si="14"/>
        <v>405.43897849695179</v>
      </c>
    </row>
    <row r="85" spans="1:12" ht="15" customHeight="1" x14ac:dyDescent="0.45">
      <c r="A85" s="318"/>
      <c r="B85" s="5" t="s">
        <v>7</v>
      </c>
      <c r="C85" s="2">
        <v>103</v>
      </c>
      <c r="D85" s="1">
        <v>3007392</v>
      </c>
      <c r="E85" s="1">
        <v>3011047</v>
      </c>
      <c r="F85" s="41">
        <f t="shared" si="9"/>
        <v>3.6550000000000002</v>
      </c>
      <c r="G85" s="22">
        <f t="shared" si="10"/>
        <v>14.47912816030124</v>
      </c>
      <c r="H85" s="45">
        <f t="shared" si="11"/>
        <v>17.727061364084637</v>
      </c>
      <c r="I85" s="42">
        <f t="shared" si="12"/>
        <v>32.206189524385877</v>
      </c>
      <c r="J85" s="30">
        <f t="shared" si="13"/>
        <v>310</v>
      </c>
      <c r="K85" s="195"/>
      <c r="L85" s="27">
        <f t="shared" si="14"/>
        <v>342.20618952438588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2607600</v>
      </c>
      <c r="E86" s="1">
        <v>2625472</v>
      </c>
      <c r="F86" s="41">
        <f t="shared" si="9"/>
        <v>17.872</v>
      </c>
      <c r="G86" s="22">
        <f t="shared" si="10"/>
        <v>70.799173318988707</v>
      </c>
      <c r="H86" s="45">
        <f t="shared" si="11"/>
        <v>17.727061364084637</v>
      </c>
      <c r="I86" s="42">
        <f t="shared" si="12"/>
        <v>88.526234683073341</v>
      </c>
      <c r="J86" s="30">
        <f t="shared" si="13"/>
        <v>310</v>
      </c>
      <c r="K86" s="195"/>
      <c r="L86" s="27">
        <f t="shared" si="14"/>
        <v>398.52623468307331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5162274</v>
      </c>
      <c r="E87" s="1">
        <v>5193916</v>
      </c>
      <c r="F87" s="41">
        <f t="shared" si="9"/>
        <v>31.641999999999999</v>
      </c>
      <c r="G87" s="22">
        <f t="shared" si="10"/>
        <v>125.34844685314685</v>
      </c>
      <c r="H87" s="45">
        <f t="shared" si="11"/>
        <v>17.727061364084637</v>
      </c>
      <c r="I87" s="42">
        <f t="shared" si="12"/>
        <v>143.07550821723149</v>
      </c>
      <c r="J87" s="30">
        <f t="shared" si="13"/>
        <v>310</v>
      </c>
      <c r="K87" s="195"/>
      <c r="L87" s="27">
        <f t="shared" si="14"/>
        <v>453.07550821723146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27444</v>
      </c>
      <c r="E88" s="1">
        <v>27444</v>
      </c>
      <c r="F88" s="41">
        <f>(E88-D88)*0.01</f>
        <v>0</v>
      </c>
      <c r="G88" s="22">
        <f t="shared" si="10"/>
        <v>0</v>
      </c>
      <c r="H88" s="45">
        <f t="shared" si="11"/>
        <v>17.727061364084637</v>
      </c>
      <c r="I88" s="42">
        <f t="shared" si="12"/>
        <v>17.727061364084637</v>
      </c>
      <c r="J88" s="30">
        <f t="shared" si="13"/>
        <v>310</v>
      </c>
      <c r="K88" s="195">
        <v>10</v>
      </c>
      <c r="L88" s="27">
        <f t="shared" si="14"/>
        <v>337.72706136408465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4477338</v>
      </c>
      <c r="E89" s="1">
        <v>4514588</v>
      </c>
      <c r="F89" s="41">
        <f>(E89-D89)*$N$1</f>
        <v>37.25</v>
      </c>
      <c r="G89" s="22">
        <f t="shared" si="10"/>
        <v>147.56430204410975</v>
      </c>
      <c r="H89" s="45">
        <f t="shared" si="11"/>
        <v>17.727061364084637</v>
      </c>
      <c r="I89" s="42">
        <f t="shared" si="12"/>
        <v>165.2913634081944</v>
      </c>
      <c r="J89" s="30">
        <f t="shared" si="13"/>
        <v>310</v>
      </c>
      <c r="K89" s="195"/>
      <c r="L89" s="27">
        <f t="shared" si="14"/>
        <v>475.2913634081944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133080</v>
      </c>
      <c r="E90" s="1">
        <v>133137</v>
      </c>
      <c r="F90" s="41">
        <f>(E90-D90)*0.01</f>
        <v>0.57000000000000006</v>
      </c>
      <c r="G90" s="22">
        <f t="shared" si="10"/>
        <v>2.2580309306078541</v>
      </c>
      <c r="H90" s="45">
        <f t="shared" si="11"/>
        <v>17.727061364084637</v>
      </c>
      <c r="I90" s="42">
        <f t="shared" si="12"/>
        <v>19.985092294692492</v>
      </c>
      <c r="J90" s="30">
        <f t="shared" si="13"/>
        <v>310</v>
      </c>
      <c r="K90" s="195"/>
      <c r="L90" s="27">
        <f t="shared" si="14"/>
        <v>329.98509229469249</v>
      </c>
    </row>
    <row r="91" spans="1:12" ht="15" customHeight="1" x14ac:dyDescent="0.45">
      <c r="A91" s="318"/>
      <c r="B91" s="5" t="s">
        <v>7</v>
      </c>
      <c r="C91" s="2">
        <v>301</v>
      </c>
      <c r="D91" s="1">
        <v>5009267</v>
      </c>
      <c r="E91" s="1">
        <v>5032658</v>
      </c>
      <c r="F91" s="41">
        <f t="shared" ref="F91:F103" si="15">(E91-D91)*$N$1</f>
        <v>23.391000000000002</v>
      </c>
      <c r="G91" s="22">
        <f t="shared" si="10"/>
        <v>92.662458768154934</v>
      </c>
      <c r="H91" s="45">
        <f t="shared" si="11"/>
        <v>17.727061364084637</v>
      </c>
      <c r="I91" s="42">
        <f t="shared" si="12"/>
        <v>110.38952013223957</v>
      </c>
      <c r="J91" s="30">
        <f t="shared" si="13"/>
        <v>310</v>
      </c>
      <c r="K91" s="195">
        <v>10</v>
      </c>
      <c r="L91" s="27">
        <f t="shared" si="14"/>
        <v>430.38952013223957</v>
      </c>
    </row>
    <row r="92" spans="1:12" ht="15" customHeight="1" x14ac:dyDescent="0.45">
      <c r="A92" s="318"/>
      <c r="B92" s="5" t="s">
        <v>7</v>
      </c>
      <c r="C92" s="2">
        <v>302</v>
      </c>
      <c r="D92" s="1">
        <v>3458529</v>
      </c>
      <c r="E92" s="1">
        <v>3497005</v>
      </c>
      <c r="F92" s="41">
        <f t="shared" si="15"/>
        <v>38.475999999999999</v>
      </c>
      <c r="G92" s="22">
        <f t="shared" si="10"/>
        <v>152.42104927380313</v>
      </c>
      <c r="H92" s="45">
        <f t="shared" si="11"/>
        <v>17.727061364084637</v>
      </c>
      <c r="I92" s="42">
        <f t="shared" si="12"/>
        <v>170.14811063788778</v>
      </c>
      <c r="J92" s="30">
        <f t="shared" si="13"/>
        <v>310</v>
      </c>
      <c r="K92" s="195"/>
      <c r="L92" s="27">
        <f t="shared" si="14"/>
        <v>480.14811063788778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4780373</v>
      </c>
      <c r="E93" s="1">
        <v>4820222</v>
      </c>
      <c r="F93" s="41">
        <f t="shared" si="15"/>
        <v>39.849000000000004</v>
      </c>
      <c r="G93" s="22">
        <f t="shared" si="10"/>
        <v>157.86013079612698</v>
      </c>
      <c r="H93" s="45">
        <f t="shared" si="11"/>
        <v>17.727061364084637</v>
      </c>
      <c r="I93" s="42">
        <f t="shared" si="12"/>
        <v>175.58719216021163</v>
      </c>
      <c r="J93" s="30">
        <f t="shared" si="13"/>
        <v>310</v>
      </c>
      <c r="K93" s="195">
        <v>10</v>
      </c>
      <c r="L93" s="27">
        <f t="shared" si="14"/>
        <v>495.58719216021166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2457052</v>
      </c>
      <c r="E94" s="1">
        <v>2468515</v>
      </c>
      <c r="F94" s="41">
        <f t="shared" si="15"/>
        <v>11.463000000000001</v>
      </c>
      <c r="G94" s="22">
        <f t="shared" si="10"/>
        <v>45.41019045185584</v>
      </c>
      <c r="H94" s="45">
        <f t="shared" si="11"/>
        <v>17.727061364084637</v>
      </c>
      <c r="I94" s="42">
        <f t="shared" si="12"/>
        <v>63.137251815940473</v>
      </c>
      <c r="J94" s="30">
        <f t="shared" si="13"/>
        <v>310</v>
      </c>
      <c r="K94" s="195"/>
      <c r="L94" s="27">
        <f t="shared" si="14"/>
        <v>373.13725181594049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3797839</v>
      </c>
      <c r="E95" s="1">
        <v>3822827</v>
      </c>
      <c r="F95" s="41">
        <f t="shared" si="15"/>
        <v>24.988</v>
      </c>
      <c r="G95" s="22">
        <f t="shared" si="10"/>
        <v>98.988906831629919</v>
      </c>
      <c r="H95" s="45">
        <f t="shared" si="11"/>
        <v>17.727061364084637</v>
      </c>
      <c r="I95" s="42">
        <f t="shared" si="12"/>
        <v>116.71596819571455</v>
      </c>
      <c r="J95" s="30">
        <f t="shared" si="13"/>
        <v>310</v>
      </c>
      <c r="K95" s="195"/>
      <c r="L95" s="27">
        <f t="shared" si="14"/>
        <v>426.71596819571454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3278335</v>
      </c>
      <c r="E96" s="1">
        <v>3292047</v>
      </c>
      <c r="F96" s="41">
        <f t="shared" si="15"/>
        <v>13.712</v>
      </c>
      <c r="G96" s="22">
        <f t="shared" si="10"/>
        <v>54.319508983324369</v>
      </c>
      <c r="H96" s="45">
        <f t="shared" si="11"/>
        <v>17.727061364084637</v>
      </c>
      <c r="I96" s="42">
        <f t="shared" si="12"/>
        <v>72.046570347409002</v>
      </c>
      <c r="J96" s="30">
        <f t="shared" si="13"/>
        <v>310</v>
      </c>
      <c r="K96" s="195"/>
      <c r="L96" s="27">
        <f t="shared" si="14"/>
        <v>382.04657034740899</v>
      </c>
    </row>
    <row r="97" spans="1:12" ht="15" customHeight="1" x14ac:dyDescent="0.45">
      <c r="A97" s="318"/>
      <c r="B97" s="5" t="s">
        <v>7</v>
      </c>
      <c r="C97" s="2">
        <v>403</v>
      </c>
      <c r="D97" s="1">
        <v>3002938</v>
      </c>
      <c r="E97" s="1">
        <v>3014374</v>
      </c>
      <c r="F97" s="41">
        <f t="shared" si="15"/>
        <v>11.436</v>
      </c>
      <c r="G97" s="22">
        <f t="shared" si="10"/>
        <v>45.303231091984941</v>
      </c>
      <c r="H97" s="45">
        <f t="shared" si="11"/>
        <v>17.727061364084637</v>
      </c>
      <c r="I97" s="42">
        <f t="shared" si="12"/>
        <v>63.030292456069574</v>
      </c>
      <c r="J97" s="30">
        <f t="shared" si="13"/>
        <v>310</v>
      </c>
      <c r="K97" s="195"/>
      <c r="L97" s="27">
        <f t="shared" si="14"/>
        <v>373.03029245606956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3173287</v>
      </c>
      <c r="E98" s="1">
        <v>3190255</v>
      </c>
      <c r="F98" s="41">
        <f t="shared" si="15"/>
        <v>16.968</v>
      </c>
      <c r="G98" s="22">
        <f t="shared" si="10"/>
        <v>67.218015492200109</v>
      </c>
      <c r="H98" s="45">
        <f t="shared" si="11"/>
        <v>17.727061364084637</v>
      </c>
      <c r="I98" s="42">
        <f t="shared" si="12"/>
        <v>84.945076856284743</v>
      </c>
      <c r="J98" s="30">
        <f t="shared" si="13"/>
        <v>310</v>
      </c>
      <c r="K98" s="195"/>
      <c r="L98" s="27">
        <f t="shared" si="14"/>
        <v>394.94507685628474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2753729</v>
      </c>
      <c r="E99" s="1">
        <v>2766734</v>
      </c>
      <c r="F99" s="41">
        <f t="shared" si="15"/>
        <v>13.005000000000001</v>
      </c>
      <c r="G99" s="22">
        <f t="shared" si="10"/>
        <v>51.518758337816038</v>
      </c>
      <c r="H99" s="45">
        <f t="shared" si="11"/>
        <v>17.727061364084637</v>
      </c>
      <c r="I99" s="42">
        <f t="shared" si="12"/>
        <v>69.245819701900672</v>
      </c>
      <c r="J99" s="30">
        <f t="shared" si="13"/>
        <v>310</v>
      </c>
      <c r="K99" s="195"/>
      <c r="L99" s="27">
        <f t="shared" si="14"/>
        <v>379.2458197019007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2525858</v>
      </c>
      <c r="E100" s="1">
        <v>2535566</v>
      </c>
      <c r="F100" s="41">
        <f t="shared" si="15"/>
        <v>9.7080000000000002</v>
      </c>
      <c r="G100" s="22">
        <f t="shared" si="10"/>
        <v>38.457832060247448</v>
      </c>
      <c r="H100" s="45">
        <f t="shared" si="11"/>
        <v>17.727061364084637</v>
      </c>
      <c r="I100" s="42">
        <f t="shared" si="12"/>
        <v>56.184893424332088</v>
      </c>
      <c r="J100" s="30">
        <f t="shared" si="13"/>
        <v>310</v>
      </c>
      <c r="K100" s="195"/>
      <c r="L100" s="27">
        <f t="shared" si="14"/>
        <v>366.18489342433207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3122297</v>
      </c>
      <c r="E101" s="1">
        <v>3143864</v>
      </c>
      <c r="F101" s="41">
        <f t="shared" si="15"/>
        <v>21.567</v>
      </c>
      <c r="G101" s="22">
        <f t="shared" si="10"/>
        <v>85.436759790209791</v>
      </c>
      <c r="H101" s="45">
        <f t="shared" si="11"/>
        <v>17.727061364084637</v>
      </c>
      <c r="I101" s="42">
        <f t="shared" si="12"/>
        <v>103.16382115429442</v>
      </c>
      <c r="J101" s="30">
        <f t="shared" si="13"/>
        <v>310</v>
      </c>
      <c r="K101" s="195">
        <v>10</v>
      </c>
      <c r="L101" s="27">
        <f t="shared" si="14"/>
        <v>423.1638211542944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4104942</v>
      </c>
      <c r="E102" s="1">
        <v>4123918</v>
      </c>
      <c r="F102" s="41">
        <f t="shared" si="15"/>
        <v>18.975999999999999</v>
      </c>
      <c r="G102" s="22">
        <f t="shared" si="10"/>
        <v>75.17262270037655</v>
      </c>
      <c r="H102" s="45">
        <f t="shared" si="11"/>
        <v>17.727061364084637</v>
      </c>
      <c r="I102" s="42">
        <f t="shared" si="12"/>
        <v>92.899684064461184</v>
      </c>
      <c r="J102" s="30">
        <f t="shared" si="13"/>
        <v>310</v>
      </c>
      <c r="K102" s="195"/>
      <c r="L102" s="27">
        <f t="shared" si="14"/>
        <v>402.89968406446121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3759470</v>
      </c>
      <c r="E103" s="1">
        <v>3792609</v>
      </c>
      <c r="F103" s="41">
        <f t="shared" si="15"/>
        <v>33.139000000000003</v>
      </c>
      <c r="G103" s="22">
        <f t="shared" si="10"/>
        <v>131.27874913932223</v>
      </c>
      <c r="H103" s="45">
        <f t="shared" si="11"/>
        <v>17.727061364084637</v>
      </c>
      <c r="I103" s="42">
        <f t="shared" si="12"/>
        <v>149.00581050340688</v>
      </c>
      <c r="J103" s="30">
        <f t="shared" si="13"/>
        <v>310</v>
      </c>
      <c r="K103" s="195"/>
      <c r="L103" s="27">
        <f t="shared" si="14"/>
        <v>459.00581050340691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152093</v>
      </c>
      <c r="E104" s="1">
        <v>154896</v>
      </c>
      <c r="F104" s="41">
        <f>(E104-D104)*0.01</f>
        <v>28.03</v>
      </c>
      <c r="G104" s="22">
        <f t="shared" si="10"/>
        <v>111.03966137708447</v>
      </c>
      <c r="H104" s="45">
        <f t="shared" si="11"/>
        <v>17.727061364084637</v>
      </c>
      <c r="I104" s="42">
        <f t="shared" si="12"/>
        <v>128.7667227411691</v>
      </c>
      <c r="J104" s="30">
        <f t="shared" si="13"/>
        <v>310</v>
      </c>
      <c r="K104" s="195"/>
      <c r="L104" s="27">
        <f t="shared" si="14"/>
        <v>438.76672274116913</v>
      </c>
    </row>
    <row r="105" spans="1:12" ht="15" customHeight="1" x14ac:dyDescent="0.45">
      <c r="A105" s="314"/>
      <c r="B105" s="107" t="s">
        <v>8</v>
      </c>
      <c r="C105" s="2">
        <v>103</v>
      </c>
      <c r="D105" s="1">
        <v>56200</v>
      </c>
      <c r="E105" s="1">
        <v>70281</v>
      </c>
      <c r="F105" s="41">
        <f t="shared" ref="F105:F123" si="16">(E105-D105)*$N$1</f>
        <v>14.081</v>
      </c>
      <c r="G105" s="22">
        <f t="shared" si="10"/>
        <v>55.78128690155998</v>
      </c>
      <c r="H105" s="45">
        <f t="shared" si="11"/>
        <v>17.727061364084637</v>
      </c>
      <c r="I105" s="42">
        <f t="shared" si="12"/>
        <v>73.508348265644614</v>
      </c>
      <c r="J105" s="30">
        <f t="shared" si="13"/>
        <v>310</v>
      </c>
      <c r="K105" s="195"/>
      <c r="L105" s="27">
        <f t="shared" si="14"/>
        <v>383.5083482656446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443021</v>
      </c>
      <c r="E106" s="1">
        <v>443247</v>
      </c>
      <c r="F106" s="41">
        <f t="shared" si="16"/>
        <v>0.22600000000000001</v>
      </c>
      <c r="G106" s="22">
        <f t="shared" si="10"/>
        <v>0.8952894566971491</v>
      </c>
      <c r="H106" s="45">
        <f t="shared" si="11"/>
        <v>17.727061364084637</v>
      </c>
      <c r="I106" s="42">
        <f t="shared" si="12"/>
        <v>18.622350820781786</v>
      </c>
      <c r="J106" s="30">
        <f t="shared" si="13"/>
        <v>310</v>
      </c>
      <c r="K106" s="195"/>
      <c r="L106" s="27">
        <f t="shared" si="14"/>
        <v>328.62235082078178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11999</v>
      </c>
      <c r="E107" s="1">
        <v>11999</v>
      </c>
      <c r="F107" s="41">
        <f t="shared" si="16"/>
        <v>0</v>
      </c>
      <c r="G107" s="22">
        <f t="shared" si="10"/>
        <v>0</v>
      </c>
      <c r="H107" s="45">
        <f t="shared" si="11"/>
        <v>17.727061364084637</v>
      </c>
      <c r="I107" s="42">
        <f t="shared" si="12"/>
        <v>17.727061364084637</v>
      </c>
      <c r="J107" s="30">
        <f t="shared" si="13"/>
        <v>310</v>
      </c>
      <c r="K107" s="195"/>
      <c r="L107" s="27">
        <f t="shared" si="14"/>
        <v>327.72706136408465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110289</v>
      </c>
      <c r="E108" s="1">
        <v>130709</v>
      </c>
      <c r="F108" s="41">
        <f t="shared" si="16"/>
        <v>20.420000000000002</v>
      </c>
      <c r="G108" s="22">
        <f t="shared" si="10"/>
        <v>80.892967724583116</v>
      </c>
      <c r="H108" s="45">
        <f t="shared" si="11"/>
        <v>17.727061364084637</v>
      </c>
      <c r="I108" s="42">
        <f t="shared" si="12"/>
        <v>98.620029088667749</v>
      </c>
      <c r="J108" s="30">
        <f t="shared" si="13"/>
        <v>310</v>
      </c>
      <c r="K108" s="195"/>
      <c r="L108" s="27">
        <f t="shared" si="14"/>
        <v>408.62002908866776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3573583</v>
      </c>
      <c r="E109" s="1">
        <v>3584131</v>
      </c>
      <c r="F109" s="41">
        <f t="shared" si="16"/>
        <v>10.548</v>
      </c>
      <c r="G109" s="22">
        <f t="shared" si="10"/>
        <v>41.785456589564284</v>
      </c>
      <c r="H109" s="45">
        <f t="shared" si="11"/>
        <v>17.727061364084637</v>
      </c>
      <c r="I109" s="42">
        <f t="shared" si="12"/>
        <v>59.512517953648924</v>
      </c>
      <c r="J109" s="30">
        <f t="shared" si="13"/>
        <v>310</v>
      </c>
      <c r="K109" s="195"/>
      <c r="L109" s="27">
        <f t="shared" si="14"/>
        <v>369.51251795364891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1918298</v>
      </c>
      <c r="E110" s="1">
        <v>1930590</v>
      </c>
      <c r="F110" s="41">
        <f t="shared" si="16"/>
        <v>12.292</v>
      </c>
      <c r="G110" s="22">
        <f t="shared" si="10"/>
        <v>48.694238945669717</v>
      </c>
      <c r="H110" s="45">
        <f t="shared" si="11"/>
        <v>17.727061364084637</v>
      </c>
      <c r="I110" s="42">
        <f t="shared" si="12"/>
        <v>66.421300309754358</v>
      </c>
      <c r="J110" s="30">
        <f t="shared" si="13"/>
        <v>310</v>
      </c>
      <c r="K110" s="195"/>
      <c r="L110" s="27">
        <f t="shared" si="14"/>
        <v>376.42130030975437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3635802</v>
      </c>
      <c r="E111" s="1">
        <v>3646727</v>
      </c>
      <c r="F111" s="41">
        <f t="shared" si="16"/>
        <v>10.925000000000001</v>
      </c>
      <c r="G111" s="22">
        <f t="shared" si="10"/>
        <v>43.278926169983869</v>
      </c>
      <c r="H111" s="45">
        <f t="shared" si="11"/>
        <v>17.727061364084637</v>
      </c>
      <c r="I111" s="42">
        <f t="shared" si="12"/>
        <v>61.00598753406851</v>
      </c>
      <c r="J111" s="30">
        <f t="shared" si="13"/>
        <v>310</v>
      </c>
      <c r="K111" s="195"/>
      <c r="L111" s="27">
        <f t="shared" si="14"/>
        <v>371.00598753406848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3329829</v>
      </c>
      <c r="E112" s="1">
        <v>3338352</v>
      </c>
      <c r="F112" s="41">
        <f t="shared" si="16"/>
        <v>8.5229999999999997</v>
      </c>
      <c r="G112" s="22">
        <f t="shared" si="10"/>
        <v>33.763504599246907</v>
      </c>
      <c r="H112" s="45">
        <f t="shared" si="11"/>
        <v>17.727061364084637</v>
      </c>
      <c r="I112" s="42">
        <f t="shared" si="12"/>
        <v>51.490565963331548</v>
      </c>
      <c r="J112" s="30">
        <f t="shared" si="13"/>
        <v>310</v>
      </c>
      <c r="K112" s="195"/>
      <c r="L112" s="27">
        <f t="shared" si="14"/>
        <v>361.49056596333156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3619731</v>
      </c>
      <c r="E113" s="1">
        <v>3649339</v>
      </c>
      <c r="F113" s="41">
        <f t="shared" si="16"/>
        <v>29.608000000000001</v>
      </c>
      <c r="G113" s="22">
        <f t="shared" si="10"/>
        <v>117.29084174287252</v>
      </c>
      <c r="H113" s="45">
        <f t="shared" si="11"/>
        <v>17.727061364084637</v>
      </c>
      <c r="I113" s="42">
        <f t="shared" si="12"/>
        <v>135.01790310695716</v>
      </c>
      <c r="J113" s="30">
        <f t="shared" si="13"/>
        <v>310</v>
      </c>
      <c r="K113" s="195"/>
      <c r="L113" s="27">
        <f t="shared" si="14"/>
        <v>445.01790310695719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19982</v>
      </c>
      <c r="E114" s="1">
        <v>28583</v>
      </c>
      <c r="F114" s="41">
        <f t="shared" si="16"/>
        <v>8.6010000000000009</v>
      </c>
      <c r="G114" s="22">
        <f t="shared" si="10"/>
        <v>34.07249830554062</v>
      </c>
      <c r="H114" s="45">
        <f t="shared" si="11"/>
        <v>17.727061364084637</v>
      </c>
      <c r="I114" s="42">
        <f t="shared" si="12"/>
        <v>51.799559669625253</v>
      </c>
      <c r="J114" s="30">
        <f t="shared" si="13"/>
        <v>310</v>
      </c>
      <c r="K114" s="195"/>
      <c r="L114" s="27">
        <f t="shared" si="14"/>
        <v>361.79955966962524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2767713</v>
      </c>
      <c r="E115" s="1">
        <v>2780356</v>
      </c>
      <c r="F115" s="41">
        <f t="shared" si="16"/>
        <v>12.643000000000001</v>
      </c>
      <c r="G115" s="22">
        <f t="shared" si="10"/>
        <v>50.084710623991398</v>
      </c>
      <c r="H115" s="45">
        <f t="shared" si="11"/>
        <v>17.727061364084637</v>
      </c>
      <c r="I115" s="42">
        <f t="shared" si="12"/>
        <v>67.811771988076032</v>
      </c>
      <c r="J115" s="30">
        <f t="shared" si="13"/>
        <v>310</v>
      </c>
      <c r="K115" s="195"/>
      <c r="L115" s="27">
        <f t="shared" si="14"/>
        <v>377.81177198807603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5581</v>
      </c>
      <c r="E116" s="1">
        <v>6053</v>
      </c>
      <c r="F116" s="41">
        <f t="shared" si="16"/>
        <v>0.47200000000000003</v>
      </c>
      <c r="G116" s="22">
        <f t="shared" si="10"/>
        <v>1.8698080688542229</v>
      </c>
      <c r="H116" s="45">
        <f t="shared" si="11"/>
        <v>17.727061364084637</v>
      </c>
      <c r="I116" s="42">
        <f t="shared" si="12"/>
        <v>19.59686943293886</v>
      </c>
      <c r="J116" s="30">
        <f t="shared" si="13"/>
        <v>310</v>
      </c>
      <c r="K116" s="195"/>
      <c r="L116" s="27">
        <f t="shared" si="14"/>
        <v>329.59686943293889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531629</v>
      </c>
      <c r="E117" s="1">
        <v>532379</v>
      </c>
      <c r="F117" s="41">
        <f t="shared" si="16"/>
        <v>0.75</v>
      </c>
      <c r="G117" s="22">
        <f t="shared" si="10"/>
        <v>2.971093329747176</v>
      </c>
      <c r="H117" s="45">
        <f t="shared" si="11"/>
        <v>17.727061364084637</v>
      </c>
      <c r="I117" s="42">
        <f t="shared" si="12"/>
        <v>20.698154693831814</v>
      </c>
      <c r="J117" s="30">
        <f t="shared" si="13"/>
        <v>310</v>
      </c>
      <c r="K117" s="195"/>
      <c r="L117" s="27">
        <f t="shared" si="14"/>
        <v>330.69815469383184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2696382</v>
      </c>
      <c r="E118" s="1">
        <v>2711646</v>
      </c>
      <c r="F118" s="41">
        <f t="shared" si="16"/>
        <v>15.264000000000001</v>
      </c>
      <c r="G118" s="22">
        <f t="shared" si="10"/>
        <v>60.467691447014531</v>
      </c>
      <c r="H118" s="45">
        <f t="shared" si="11"/>
        <v>17.727061364084637</v>
      </c>
      <c r="I118" s="42">
        <f t="shared" si="12"/>
        <v>78.194752811099164</v>
      </c>
      <c r="J118" s="30">
        <f t="shared" si="13"/>
        <v>310</v>
      </c>
      <c r="K118" s="195">
        <v>10</v>
      </c>
      <c r="L118" s="27">
        <f t="shared" si="14"/>
        <v>398.19475281109919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2728611</v>
      </c>
      <c r="E119" s="1">
        <v>2744972</v>
      </c>
      <c r="F119" s="41">
        <f t="shared" si="16"/>
        <v>16.361000000000001</v>
      </c>
      <c r="G119" s="22">
        <f t="shared" si="10"/>
        <v>64.813410623991402</v>
      </c>
      <c r="H119" s="45">
        <f t="shared" si="11"/>
        <v>17.727061364084637</v>
      </c>
      <c r="I119" s="42">
        <f t="shared" si="12"/>
        <v>82.540471988076035</v>
      </c>
      <c r="J119" s="30">
        <f t="shared" si="13"/>
        <v>310</v>
      </c>
      <c r="K119" s="195"/>
      <c r="L119" s="27">
        <f t="shared" si="14"/>
        <v>392.54047198807604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5815658</v>
      </c>
      <c r="E120" s="1">
        <v>5857131</v>
      </c>
      <c r="F120" s="41">
        <f t="shared" si="16"/>
        <v>41.472999999999999</v>
      </c>
      <c r="G120" s="22">
        <f t="shared" si="10"/>
        <v>164.29353821947285</v>
      </c>
      <c r="H120" s="45">
        <f t="shared" si="11"/>
        <v>17.727061364084637</v>
      </c>
      <c r="I120" s="42">
        <f t="shared" si="12"/>
        <v>182.0205995835575</v>
      </c>
      <c r="J120" s="30">
        <f t="shared" si="13"/>
        <v>310</v>
      </c>
      <c r="K120" s="195"/>
      <c r="L120" s="27">
        <f t="shared" si="14"/>
        <v>492.0205995835575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68281</v>
      </c>
      <c r="E121" s="1">
        <v>80092</v>
      </c>
      <c r="F121" s="41">
        <f t="shared" si="16"/>
        <v>11.811</v>
      </c>
      <c r="G121" s="22">
        <f t="shared" si="10"/>
        <v>46.788777756858529</v>
      </c>
      <c r="H121" s="45">
        <f t="shared" si="11"/>
        <v>17.727061364084637</v>
      </c>
      <c r="I121" s="42">
        <f t="shared" si="12"/>
        <v>64.51583912094317</v>
      </c>
      <c r="J121" s="30">
        <f t="shared" si="13"/>
        <v>310</v>
      </c>
      <c r="K121" s="195"/>
      <c r="L121" s="27">
        <f t="shared" si="14"/>
        <v>374.51583912094316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4284959</v>
      </c>
      <c r="E122" s="1">
        <v>4310669</v>
      </c>
      <c r="F122" s="41">
        <f t="shared" si="16"/>
        <v>25.71</v>
      </c>
      <c r="G122" s="22">
        <f t="shared" si="10"/>
        <v>101.84907934373319</v>
      </c>
      <c r="H122" s="45">
        <f t="shared" si="11"/>
        <v>17.727061364084637</v>
      </c>
      <c r="I122" s="42">
        <f t="shared" si="12"/>
        <v>119.57614070781783</v>
      </c>
      <c r="J122" s="30">
        <f t="shared" si="13"/>
        <v>310</v>
      </c>
      <c r="K122" s="195"/>
      <c r="L122" s="27">
        <f t="shared" si="14"/>
        <v>429.57614070781784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0</v>
      </c>
      <c r="E123" s="1">
        <v>22010</v>
      </c>
      <c r="F123" s="41">
        <f t="shared" si="16"/>
        <v>22.01</v>
      </c>
      <c r="G123" s="22">
        <f t="shared" si="10"/>
        <v>87.191685583647129</v>
      </c>
      <c r="H123" s="45">
        <f t="shared" si="11"/>
        <v>17.727061364084637</v>
      </c>
      <c r="I123" s="42">
        <f t="shared" si="12"/>
        <v>104.91874694773176</v>
      </c>
      <c r="J123" s="30">
        <f t="shared" si="13"/>
        <v>310</v>
      </c>
      <c r="K123" s="195"/>
      <c r="L123" s="27">
        <f t="shared" si="14"/>
        <v>414.91874694773173</v>
      </c>
    </row>
    <row r="124" spans="1:12" ht="15" customHeight="1" x14ac:dyDescent="0.45">
      <c r="A124" s="318"/>
      <c r="B124" s="159" t="s">
        <v>9</v>
      </c>
      <c r="C124" s="2">
        <v>102</v>
      </c>
      <c r="D124" s="1">
        <v>22523</v>
      </c>
      <c r="E124" s="1">
        <v>23163</v>
      </c>
      <c r="F124" s="41">
        <f>(E124-D124)*0.01</f>
        <v>6.4</v>
      </c>
      <c r="G124" s="22">
        <f>MMULT($G$1,1/$F$183)*F124</f>
        <v>25.353329747175906</v>
      </c>
      <c r="H124" s="45">
        <f t="shared" si="11"/>
        <v>17.727061364084637</v>
      </c>
      <c r="I124" s="42">
        <f t="shared" si="12"/>
        <v>43.080391111260539</v>
      </c>
      <c r="J124" s="30">
        <f t="shared" si="13"/>
        <v>310</v>
      </c>
      <c r="K124" s="195"/>
      <c r="L124" s="27">
        <f t="shared" si="14"/>
        <v>353.08039111126055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2888395</v>
      </c>
      <c r="E125" s="1">
        <v>2923145</v>
      </c>
      <c r="F125" s="41">
        <f t="shared" ref="F125:F182" si="17">(E125-D125)*$N$1</f>
        <v>34.75</v>
      </c>
      <c r="G125" s="22">
        <f t="shared" si="10"/>
        <v>137.66065761161917</v>
      </c>
      <c r="H125" s="45">
        <f t="shared" si="11"/>
        <v>17.727061364084637</v>
      </c>
      <c r="I125" s="42">
        <f t="shared" si="12"/>
        <v>155.38771897570382</v>
      </c>
      <c r="J125" s="30">
        <f t="shared" si="13"/>
        <v>310</v>
      </c>
      <c r="K125" s="195"/>
      <c r="L125" s="27">
        <f t="shared" si="14"/>
        <v>465.38771897570382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2880780</v>
      </c>
      <c r="E126" s="1">
        <v>2889539</v>
      </c>
      <c r="F126" s="41">
        <f t="shared" si="17"/>
        <v>8.7590000000000003</v>
      </c>
      <c r="G126" s="22">
        <f t="shared" si="10"/>
        <v>34.698408633674021</v>
      </c>
      <c r="H126" s="45">
        <f t="shared" si="11"/>
        <v>17.727061364084637</v>
      </c>
      <c r="I126" s="42">
        <f t="shared" si="12"/>
        <v>52.425469997758654</v>
      </c>
      <c r="J126" s="30">
        <f t="shared" si="13"/>
        <v>310</v>
      </c>
      <c r="K126" s="195"/>
      <c r="L126" s="27">
        <f t="shared" si="14"/>
        <v>362.42546999775868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2602187</v>
      </c>
      <c r="E127" s="1">
        <v>2617951</v>
      </c>
      <c r="F127" s="41">
        <f t="shared" si="17"/>
        <v>15.764000000000001</v>
      </c>
      <c r="G127" s="22">
        <f t="shared" si="10"/>
        <v>62.448420333512651</v>
      </c>
      <c r="H127" s="45">
        <f t="shared" si="11"/>
        <v>17.727061364084637</v>
      </c>
      <c r="I127" s="42">
        <f t="shared" si="12"/>
        <v>80.175481697597291</v>
      </c>
      <c r="J127" s="30">
        <f t="shared" si="13"/>
        <v>310</v>
      </c>
      <c r="K127" s="195"/>
      <c r="L127" s="27">
        <f t="shared" si="14"/>
        <v>390.17548169759732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4728750</v>
      </c>
      <c r="E128" s="1">
        <v>4745513</v>
      </c>
      <c r="F128" s="41">
        <f t="shared" si="17"/>
        <v>16.763000000000002</v>
      </c>
      <c r="G128" s="22">
        <f t="shared" si="10"/>
        <v>66.405916648735897</v>
      </c>
      <c r="H128" s="45">
        <f t="shared" si="11"/>
        <v>17.727061364084637</v>
      </c>
      <c r="I128" s="42">
        <f t="shared" si="12"/>
        <v>84.13297801282053</v>
      </c>
      <c r="J128" s="30">
        <f t="shared" si="13"/>
        <v>310</v>
      </c>
      <c r="K128" s="195"/>
      <c r="L128" s="27">
        <f t="shared" si="14"/>
        <v>394.13297801282056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2044059</v>
      </c>
      <c r="E129" s="1">
        <v>2044059</v>
      </c>
      <c r="F129" s="41">
        <f t="shared" si="17"/>
        <v>0</v>
      </c>
      <c r="G129" s="22">
        <f t="shared" si="10"/>
        <v>0</v>
      </c>
      <c r="H129" s="45">
        <f t="shared" si="11"/>
        <v>17.727061364084637</v>
      </c>
      <c r="I129" s="42">
        <f t="shared" si="12"/>
        <v>17.727061364084637</v>
      </c>
      <c r="J129" s="30">
        <f t="shared" si="13"/>
        <v>310</v>
      </c>
      <c r="K129" s="195"/>
      <c r="L129" s="27">
        <f t="shared" si="14"/>
        <v>327.72706136408465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2908997</v>
      </c>
      <c r="E130" s="1">
        <v>2920926</v>
      </c>
      <c r="F130" s="41">
        <f t="shared" si="17"/>
        <v>11.929</v>
      </c>
      <c r="G130" s="22">
        <f t="shared" si="10"/>
        <v>47.256229774072089</v>
      </c>
      <c r="H130" s="45">
        <f t="shared" si="11"/>
        <v>17.727061364084637</v>
      </c>
      <c r="I130" s="42">
        <f t="shared" si="12"/>
        <v>64.98329113815673</v>
      </c>
      <c r="J130" s="30">
        <f t="shared" si="13"/>
        <v>310</v>
      </c>
      <c r="K130" s="195"/>
      <c r="L130" s="27">
        <f t="shared" si="14"/>
        <v>374.98329113815674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2991679</v>
      </c>
      <c r="E131" s="1">
        <v>3018581</v>
      </c>
      <c r="F131" s="41">
        <f t="shared" si="17"/>
        <v>26.902000000000001</v>
      </c>
      <c r="G131" s="22">
        <f t="shared" si="10"/>
        <v>106.57113700914471</v>
      </c>
      <c r="H131" s="45">
        <f t="shared" si="11"/>
        <v>17.727061364084637</v>
      </c>
      <c r="I131" s="42">
        <f t="shared" si="12"/>
        <v>124.29819837322934</v>
      </c>
      <c r="J131" s="30">
        <f t="shared" si="13"/>
        <v>310</v>
      </c>
      <c r="K131" s="195"/>
      <c r="L131" s="27">
        <f t="shared" si="14"/>
        <v>434.29819837322935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1863293</v>
      </c>
      <c r="E132" s="1">
        <v>1868740</v>
      </c>
      <c r="F132" s="41">
        <f t="shared" si="17"/>
        <v>5.4470000000000001</v>
      </c>
      <c r="G132" s="22">
        <f t="shared" ref="G132:G183" si="18">MMULT($G$1,1/$F$183)*F132</f>
        <v>21.578060489510491</v>
      </c>
      <c r="H132" s="45">
        <f t="shared" ref="H132:H181" si="19">MMULT($H$1,1/180)</f>
        <v>17.727061364084637</v>
      </c>
      <c r="I132" s="42">
        <f t="shared" ref="I132:I182" si="20">SUM(G132,H132)</f>
        <v>39.305121853595125</v>
      </c>
      <c r="J132" s="30">
        <f t="shared" si="13"/>
        <v>310</v>
      </c>
      <c r="K132" s="195"/>
      <c r="L132" s="27">
        <f>SUM(I132,J132,K132)</f>
        <v>349.3051218535951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3409732</v>
      </c>
      <c r="E133" s="1">
        <v>3422631</v>
      </c>
      <c r="F133" s="41">
        <f t="shared" si="17"/>
        <v>12.899000000000001</v>
      </c>
      <c r="G133" s="22">
        <f t="shared" si="18"/>
        <v>51.098843813878439</v>
      </c>
      <c r="H133" s="45">
        <f t="shared" si="19"/>
        <v>17.727061364084637</v>
      </c>
      <c r="I133" s="42">
        <f t="shared" si="20"/>
        <v>68.825905177963079</v>
      </c>
      <c r="J133" s="30">
        <f t="shared" ref="J133:J182" si="21">SUM($J$3)</f>
        <v>310</v>
      </c>
      <c r="K133" s="195"/>
      <c r="L133" s="27">
        <f>SUM(I133,J133,K133)</f>
        <v>378.82590517796308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3970066</v>
      </c>
      <c r="E134" s="1">
        <v>3989453</v>
      </c>
      <c r="F134" s="41">
        <f t="shared" si="17"/>
        <v>19.387</v>
      </c>
      <c r="G134" s="22">
        <f t="shared" si="18"/>
        <v>76.800781845078006</v>
      </c>
      <c r="H134" s="45">
        <f t="shared" si="19"/>
        <v>17.727061364084637</v>
      </c>
      <c r="I134" s="42">
        <f t="shared" si="20"/>
        <v>94.52784320916264</v>
      </c>
      <c r="J134" s="30">
        <f t="shared" si="21"/>
        <v>310</v>
      </c>
      <c r="K134" s="195"/>
      <c r="L134" s="27">
        <f>SUM(I134,J134,K134)</f>
        <v>404.52784320916265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1905408</v>
      </c>
      <c r="E135" s="1">
        <v>1911874</v>
      </c>
      <c r="F135" s="41">
        <f t="shared" si="17"/>
        <v>6.4660000000000002</v>
      </c>
      <c r="G135" s="22">
        <f t="shared" si="18"/>
        <v>25.614785960193654</v>
      </c>
      <c r="H135" s="45">
        <f t="shared" si="19"/>
        <v>17.727061364084637</v>
      </c>
      <c r="I135" s="42">
        <f t="shared" si="20"/>
        <v>43.341847324278291</v>
      </c>
      <c r="J135" s="30">
        <f t="shared" si="21"/>
        <v>310</v>
      </c>
      <c r="K135" s="195"/>
      <c r="L135" s="27">
        <f>SUM(I135,J135,K135)</f>
        <v>353.34184732427832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2010900</v>
      </c>
      <c r="E136" s="1">
        <v>2014227</v>
      </c>
      <c r="F136" s="41">
        <f t="shared" si="17"/>
        <v>3.327</v>
      </c>
      <c r="G136" s="22">
        <f t="shared" si="18"/>
        <v>13.179770010758473</v>
      </c>
      <c r="H136" s="45">
        <f t="shared" si="19"/>
        <v>17.727061364084637</v>
      </c>
      <c r="I136" s="42">
        <f t="shared" si="20"/>
        <v>30.906831374843108</v>
      </c>
      <c r="J136" s="30">
        <f t="shared" si="21"/>
        <v>310</v>
      </c>
      <c r="K136" s="195"/>
      <c r="L136" s="27">
        <f t="shared" ref="L136:L182" si="22">SUM(I136,J136,K136)</f>
        <v>340.90683137484314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4469135</v>
      </c>
      <c r="E137" s="1">
        <v>4491799</v>
      </c>
      <c r="F137" s="41">
        <f t="shared" si="17"/>
        <v>22.664000000000001</v>
      </c>
      <c r="G137" s="22">
        <f t="shared" si="18"/>
        <v>89.782478967186677</v>
      </c>
      <c r="H137" s="45">
        <f t="shared" si="19"/>
        <v>17.727061364084637</v>
      </c>
      <c r="I137" s="42">
        <f t="shared" si="20"/>
        <v>107.50954033127131</v>
      </c>
      <c r="J137" s="30">
        <f t="shared" si="21"/>
        <v>310</v>
      </c>
      <c r="K137" s="195"/>
      <c r="L137" s="27">
        <f t="shared" si="22"/>
        <v>417.5095403312713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2442064</v>
      </c>
      <c r="E138" s="1">
        <v>2457109</v>
      </c>
      <c r="F138" s="41">
        <f t="shared" si="17"/>
        <v>15.045</v>
      </c>
      <c r="G138" s="22">
        <f t="shared" si="18"/>
        <v>59.600132194728353</v>
      </c>
      <c r="H138" s="45">
        <f t="shared" si="19"/>
        <v>17.727061364084637</v>
      </c>
      <c r="I138" s="42">
        <f t="shared" si="20"/>
        <v>77.327193558812994</v>
      </c>
      <c r="J138" s="30">
        <f t="shared" si="21"/>
        <v>310</v>
      </c>
      <c r="K138" s="195"/>
      <c r="L138" s="27">
        <f t="shared" si="22"/>
        <v>387.32719355881301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3072640</v>
      </c>
      <c r="E139" s="1">
        <v>3092644</v>
      </c>
      <c r="F139" s="41">
        <f t="shared" si="17"/>
        <v>20.004000000000001</v>
      </c>
      <c r="G139" s="22">
        <f t="shared" si="18"/>
        <v>79.245001291016692</v>
      </c>
      <c r="H139" s="45">
        <f t="shared" si="19"/>
        <v>17.727061364084637</v>
      </c>
      <c r="I139" s="42">
        <f t="shared" si="20"/>
        <v>96.972062655101325</v>
      </c>
      <c r="J139" s="30">
        <f t="shared" si="21"/>
        <v>310</v>
      </c>
      <c r="K139" s="195"/>
      <c r="L139" s="27">
        <f t="shared" si="22"/>
        <v>406.97206265510135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3017649</v>
      </c>
      <c r="E140" s="1">
        <v>3024658</v>
      </c>
      <c r="F140" s="41">
        <f t="shared" si="17"/>
        <v>7.0090000000000003</v>
      </c>
      <c r="G140" s="22">
        <f t="shared" si="18"/>
        <v>27.76585753093061</v>
      </c>
      <c r="H140" s="45">
        <f t="shared" si="19"/>
        <v>17.727061364084637</v>
      </c>
      <c r="I140" s="42">
        <f t="shared" si="20"/>
        <v>45.492918895015251</v>
      </c>
      <c r="J140" s="30">
        <f t="shared" si="21"/>
        <v>310</v>
      </c>
      <c r="K140" s="195"/>
      <c r="L140" s="27">
        <f t="shared" si="22"/>
        <v>355.49291889501524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2988485</v>
      </c>
      <c r="E141" s="1">
        <v>2997346</v>
      </c>
      <c r="F141" s="41">
        <f t="shared" si="17"/>
        <v>8.8610000000000007</v>
      </c>
      <c r="G141" s="22">
        <f t="shared" si="18"/>
        <v>35.10247732651964</v>
      </c>
      <c r="H141" s="45">
        <f t="shared" si="19"/>
        <v>17.727061364084637</v>
      </c>
      <c r="I141" s="42">
        <f t="shared" si="20"/>
        <v>52.829538690604281</v>
      </c>
      <c r="J141" s="30">
        <f t="shared" si="21"/>
        <v>310</v>
      </c>
      <c r="K141" s="195"/>
      <c r="L141" s="27">
        <f>SUM(I141,J141,K141)</f>
        <v>362.82953869060429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3060046</v>
      </c>
      <c r="E142" s="1">
        <v>3065451</v>
      </c>
      <c r="F142" s="41">
        <f t="shared" si="17"/>
        <v>5.4050000000000002</v>
      </c>
      <c r="G142" s="22">
        <f t="shared" si="18"/>
        <v>21.41167926304465</v>
      </c>
      <c r="H142" s="45">
        <f t="shared" si="19"/>
        <v>17.727061364084637</v>
      </c>
      <c r="I142" s="42">
        <f t="shared" si="20"/>
        <v>39.138740627129287</v>
      </c>
      <c r="J142" s="30">
        <f t="shared" si="21"/>
        <v>310</v>
      </c>
      <c r="K142" s="195"/>
      <c r="L142" s="27">
        <f t="shared" si="22"/>
        <v>349.13874062712927</v>
      </c>
    </row>
    <row r="143" spans="1:12" x14ac:dyDescent="0.45">
      <c r="A143" s="314"/>
      <c r="B143" s="5" t="s">
        <v>10</v>
      </c>
      <c r="C143" s="2">
        <v>101</v>
      </c>
      <c r="D143" s="1">
        <v>3686049</v>
      </c>
      <c r="E143" s="1">
        <v>3705311</v>
      </c>
      <c r="F143" s="41">
        <f t="shared" si="17"/>
        <v>19.262</v>
      </c>
      <c r="G143" s="22">
        <f t="shared" si="18"/>
        <v>76.305599623453475</v>
      </c>
      <c r="H143" s="45">
        <f t="shared" si="19"/>
        <v>17.727061364084637</v>
      </c>
      <c r="I143" s="42">
        <f t="shared" si="20"/>
        <v>94.032660987538108</v>
      </c>
      <c r="J143" s="30">
        <f t="shared" si="21"/>
        <v>310</v>
      </c>
      <c r="K143" s="195"/>
      <c r="L143" s="27">
        <f t="shared" si="22"/>
        <v>404.03266098753812</v>
      </c>
    </row>
    <row r="144" spans="1:12" x14ac:dyDescent="0.45">
      <c r="A144" s="314"/>
      <c r="B144" s="5" t="s">
        <v>10</v>
      </c>
      <c r="C144" s="2">
        <v>102</v>
      </c>
      <c r="D144" s="1">
        <v>0</v>
      </c>
      <c r="E144" s="1">
        <v>3512</v>
      </c>
      <c r="F144" s="41">
        <f t="shared" si="17"/>
        <v>3.512</v>
      </c>
      <c r="G144" s="22">
        <f t="shared" si="18"/>
        <v>13.912639698762776</v>
      </c>
      <c r="H144" s="45">
        <f t="shared" si="19"/>
        <v>17.727061364084637</v>
      </c>
      <c r="I144" s="42">
        <f t="shared" si="20"/>
        <v>31.639701062847415</v>
      </c>
      <c r="J144" s="30">
        <f t="shared" si="21"/>
        <v>310</v>
      </c>
      <c r="K144" s="195"/>
      <c r="L144" s="27">
        <f t="shared" si="22"/>
        <v>341.63970106284739</v>
      </c>
    </row>
    <row r="145" spans="1:12" x14ac:dyDescent="0.45">
      <c r="A145" s="314"/>
      <c r="B145" s="5" t="s">
        <v>10</v>
      </c>
      <c r="C145" s="2">
        <v>103</v>
      </c>
      <c r="D145" s="1">
        <v>3955113</v>
      </c>
      <c r="E145" s="1">
        <v>3960522</v>
      </c>
      <c r="F145" s="41">
        <f t="shared" si="17"/>
        <v>5.4089999999999998</v>
      </c>
      <c r="G145" s="22">
        <f t="shared" si="18"/>
        <v>21.427525094136634</v>
      </c>
      <c r="H145" s="45">
        <f t="shared" si="19"/>
        <v>17.727061364084637</v>
      </c>
      <c r="I145" s="42">
        <f t="shared" si="20"/>
        <v>39.154586458221274</v>
      </c>
      <c r="J145" s="30">
        <f t="shared" si="21"/>
        <v>310</v>
      </c>
      <c r="K145" s="195"/>
      <c r="L145" s="27">
        <f t="shared" si="22"/>
        <v>349.15458645822127</v>
      </c>
    </row>
    <row r="146" spans="1:12" x14ac:dyDescent="0.45">
      <c r="A146" s="314"/>
      <c r="B146" s="5" t="s">
        <v>10</v>
      </c>
      <c r="C146" s="2">
        <v>104</v>
      </c>
      <c r="D146" s="1">
        <v>2945932</v>
      </c>
      <c r="E146" s="1">
        <v>2968249</v>
      </c>
      <c r="F146" s="41">
        <f t="shared" si="17"/>
        <v>22.317</v>
      </c>
      <c r="G146" s="22">
        <f t="shared" si="18"/>
        <v>88.407853119956968</v>
      </c>
      <c r="H146" s="45">
        <f t="shared" si="19"/>
        <v>17.727061364084637</v>
      </c>
      <c r="I146" s="42">
        <f t="shared" si="20"/>
        <v>106.1349144840416</v>
      </c>
      <c r="J146" s="30">
        <f t="shared" si="21"/>
        <v>310</v>
      </c>
      <c r="K146" s="195"/>
      <c r="L146" s="27">
        <f t="shared" si="22"/>
        <v>416.13491448404159</v>
      </c>
    </row>
    <row r="147" spans="1:12" x14ac:dyDescent="0.45">
      <c r="A147" s="314"/>
      <c r="B147" s="5" t="s">
        <v>10</v>
      </c>
      <c r="C147" s="2">
        <v>201</v>
      </c>
      <c r="D147" s="1">
        <v>5320417</v>
      </c>
      <c r="E147" s="1">
        <v>5363846</v>
      </c>
      <c r="F147" s="41">
        <f t="shared" si="17"/>
        <v>43.429000000000002</v>
      </c>
      <c r="G147" s="22">
        <f t="shared" si="18"/>
        <v>172.0421496234535</v>
      </c>
      <c r="H147" s="45">
        <f t="shared" si="19"/>
        <v>17.727061364084637</v>
      </c>
      <c r="I147" s="42">
        <f t="shared" si="20"/>
        <v>189.76921098753814</v>
      </c>
      <c r="J147" s="30">
        <f t="shared" si="21"/>
        <v>310</v>
      </c>
      <c r="K147" s="195"/>
      <c r="L147" s="27">
        <f t="shared" si="22"/>
        <v>499.76921098753814</v>
      </c>
    </row>
    <row r="148" spans="1:12" x14ac:dyDescent="0.45">
      <c r="A148" s="314"/>
      <c r="B148" s="5" t="s">
        <v>10</v>
      </c>
      <c r="C148" s="2">
        <v>202</v>
      </c>
      <c r="D148" s="1">
        <v>3403914</v>
      </c>
      <c r="E148" s="1">
        <v>3412139</v>
      </c>
      <c r="F148" s="41">
        <f t="shared" si="17"/>
        <v>8.2249999999999996</v>
      </c>
      <c r="G148" s="22">
        <f t="shared" si="18"/>
        <v>32.582990182894029</v>
      </c>
      <c r="H148" s="45">
        <f t="shared" si="19"/>
        <v>17.727061364084637</v>
      </c>
      <c r="I148" s="42">
        <f t="shared" si="20"/>
        <v>50.31005154697867</v>
      </c>
      <c r="J148" s="30">
        <f t="shared" si="21"/>
        <v>310</v>
      </c>
      <c r="K148" s="195"/>
      <c r="L148" s="27">
        <f t="shared" si="22"/>
        <v>360.31005154697868</v>
      </c>
    </row>
    <row r="149" spans="1:12" x14ac:dyDescent="0.45">
      <c r="A149" s="314"/>
      <c r="B149" s="5" t="s">
        <v>10</v>
      </c>
      <c r="C149" s="2">
        <v>203</v>
      </c>
      <c r="D149" s="1">
        <v>3432250</v>
      </c>
      <c r="E149" s="1">
        <v>3444051</v>
      </c>
      <c r="F149" s="41">
        <f t="shared" si="17"/>
        <v>11.801</v>
      </c>
      <c r="G149" s="22">
        <f t="shared" si="18"/>
        <v>46.749163179128566</v>
      </c>
      <c r="H149" s="45">
        <f t="shared" si="19"/>
        <v>17.727061364084637</v>
      </c>
      <c r="I149" s="42">
        <f t="shared" si="20"/>
        <v>64.476224543213206</v>
      </c>
      <c r="J149" s="30">
        <f t="shared" si="21"/>
        <v>310</v>
      </c>
      <c r="K149" s="195"/>
      <c r="L149" s="27">
        <f t="shared" si="22"/>
        <v>374.47622454321322</v>
      </c>
    </row>
    <row r="150" spans="1:12" x14ac:dyDescent="0.45">
      <c r="A150" s="314"/>
      <c r="B150" s="5" t="s">
        <v>10</v>
      </c>
      <c r="C150" s="2">
        <v>204</v>
      </c>
      <c r="D150" s="1">
        <v>1905591</v>
      </c>
      <c r="E150" s="1">
        <v>1915811</v>
      </c>
      <c r="F150" s="41">
        <f t="shared" si="17"/>
        <v>10.220000000000001</v>
      </c>
      <c r="G150" s="22">
        <f t="shared" si="18"/>
        <v>40.486098440021522</v>
      </c>
      <c r="H150" s="45">
        <f t="shared" si="19"/>
        <v>17.727061364084637</v>
      </c>
      <c r="I150" s="42">
        <f t="shared" si="20"/>
        <v>58.213159804106155</v>
      </c>
      <c r="J150" s="30">
        <f t="shared" si="21"/>
        <v>310</v>
      </c>
      <c r="K150" s="195"/>
      <c r="L150" s="27">
        <f t="shared" si="22"/>
        <v>368.21315980410617</v>
      </c>
    </row>
    <row r="151" spans="1:12" x14ac:dyDescent="0.45">
      <c r="A151" s="314"/>
      <c r="B151" s="5" t="s">
        <v>10</v>
      </c>
      <c r="C151" s="2">
        <v>301</v>
      </c>
      <c r="D151" s="1">
        <v>2339230</v>
      </c>
      <c r="E151" s="1">
        <v>2354952</v>
      </c>
      <c r="F151" s="41">
        <f t="shared" si="17"/>
        <v>15.722</v>
      </c>
      <c r="G151" s="22">
        <f t="shared" si="18"/>
        <v>62.282039107046799</v>
      </c>
      <c r="H151" s="45">
        <f t="shared" si="19"/>
        <v>17.727061364084637</v>
      </c>
      <c r="I151" s="42">
        <f t="shared" si="20"/>
        <v>80.009100471131433</v>
      </c>
      <c r="J151" s="30">
        <f t="shared" si="21"/>
        <v>310</v>
      </c>
      <c r="K151" s="195"/>
      <c r="L151" s="27">
        <f t="shared" si="22"/>
        <v>390.00910047113143</v>
      </c>
    </row>
    <row r="152" spans="1:12" x14ac:dyDescent="0.45">
      <c r="A152" s="314"/>
      <c r="B152" s="5" t="s">
        <v>10</v>
      </c>
      <c r="C152" s="2">
        <v>302</v>
      </c>
      <c r="D152" s="1">
        <v>4200740</v>
      </c>
      <c r="E152" s="1">
        <v>4217922</v>
      </c>
      <c r="F152" s="41">
        <f t="shared" si="17"/>
        <v>17.181999999999999</v>
      </c>
      <c r="G152" s="22">
        <f t="shared" si="18"/>
        <v>68.065767455621298</v>
      </c>
      <c r="H152" s="45">
        <f t="shared" si="19"/>
        <v>17.727061364084637</v>
      </c>
      <c r="I152" s="42">
        <f t="shared" si="20"/>
        <v>85.792828819705932</v>
      </c>
      <c r="J152" s="30">
        <f t="shared" si="21"/>
        <v>310</v>
      </c>
      <c r="K152" s="195"/>
      <c r="L152" s="27">
        <f t="shared" si="22"/>
        <v>395.79282881970596</v>
      </c>
    </row>
    <row r="153" spans="1:12" x14ac:dyDescent="0.45">
      <c r="A153" s="314"/>
      <c r="B153" s="5" t="s">
        <v>10</v>
      </c>
      <c r="C153" s="2">
        <v>303</v>
      </c>
      <c r="D153" s="1">
        <v>2641202</v>
      </c>
      <c r="E153" s="1">
        <v>2647431</v>
      </c>
      <c r="F153" s="41">
        <f t="shared" si="17"/>
        <v>6.2290000000000001</v>
      </c>
      <c r="G153" s="22">
        <f t="shared" si="18"/>
        <v>24.675920467993546</v>
      </c>
      <c r="H153" s="45">
        <f t="shared" si="19"/>
        <v>17.727061364084637</v>
      </c>
      <c r="I153" s="42">
        <f t="shared" si="20"/>
        <v>42.402981832078183</v>
      </c>
      <c r="J153" s="30">
        <f t="shared" si="21"/>
        <v>310</v>
      </c>
      <c r="K153" s="195"/>
      <c r="L153" s="27">
        <f>SUM(I153,J153,K153)</f>
        <v>352.40298183207818</v>
      </c>
    </row>
    <row r="154" spans="1:12" x14ac:dyDescent="0.45">
      <c r="A154" s="314"/>
      <c r="B154" s="5" t="s">
        <v>10</v>
      </c>
      <c r="C154" s="2">
        <v>304</v>
      </c>
      <c r="D154" s="1">
        <v>0</v>
      </c>
      <c r="E154" s="1">
        <v>22312</v>
      </c>
      <c r="F154" s="41">
        <f t="shared" si="17"/>
        <v>22.312000000000001</v>
      </c>
      <c r="G154" s="22">
        <f t="shared" si="18"/>
        <v>88.388045831092001</v>
      </c>
      <c r="H154" s="45">
        <f t="shared" si="19"/>
        <v>17.727061364084637</v>
      </c>
      <c r="I154" s="42">
        <f t="shared" si="20"/>
        <v>106.11510719517663</v>
      </c>
      <c r="J154" s="30">
        <f t="shared" si="21"/>
        <v>310</v>
      </c>
      <c r="K154" s="195">
        <v>300</v>
      </c>
      <c r="L154" s="27">
        <f t="shared" si="22"/>
        <v>716.11510719517662</v>
      </c>
    </row>
    <row r="155" spans="1:12" x14ac:dyDescent="0.45">
      <c r="A155" s="314"/>
      <c r="B155" s="5" t="s">
        <v>10</v>
      </c>
      <c r="C155" s="2">
        <v>401</v>
      </c>
      <c r="D155" s="1">
        <v>4923103</v>
      </c>
      <c r="E155" s="1">
        <v>4957131</v>
      </c>
      <c r="F155" s="41">
        <f t="shared" si="17"/>
        <v>34.027999999999999</v>
      </c>
      <c r="G155" s="22">
        <f t="shared" si="18"/>
        <v>134.80048509951587</v>
      </c>
      <c r="H155" s="45">
        <f t="shared" si="19"/>
        <v>17.727061364084637</v>
      </c>
      <c r="I155" s="42">
        <f t="shared" si="20"/>
        <v>152.52754646360052</v>
      </c>
      <c r="J155" s="30">
        <f t="shared" si="21"/>
        <v>310</v>
      </c>
      <c r="K155" s="195">
        <v>10</v>
      </c>
      <c r="L155" s="27">
        <f t="shared" si="22"/>
        <v>472.52754646360052</v>
      </c>
    </row>
    <row r="156" spans="1:12" x14ac:dyDescent="0.45">
      <c r="A156" s="314"/>
      <c r="B156" s="5" t="s">
        <v>10</v>
      </c>
      <c r="C156" s="2">
        <v>402</v>
      </c>
      <c r="D156" s="1">
        <v>3748438</v>
      </c>
      <c r="E156" s="1">
        <v>3765098</v>
      </c>
      <c r="F156" s="41">
        <f t="shared" si="17"/>
        <v>16.66</v>
      </c>
      <c r="G156" s="22">
        <f t="shared" si="18"/>
        <v>65.997886498117268</v>
      </c>
      <c r="H156" s="45">
        <f t="shared" si="19"/>
        <v>17.727061364084637</v>
      </c>
      <c r="I156" s="42">
        <f t="shared" si="20"/>
        <v>83.724947862201901</v>
      </c>
      <c r="J156" s="30">
        <f t="shared" si="21"/>
        <v>310</v>
      </c>
      <c r="K156" s="195"/>
      <c r="L156" s="27">
        <f t="shared" si="22"/>
        <v>393.72494786220193</v>
      </c>
    </row>
    <row r="157" spans="1:12" x14ac:dyDescent="0.45">
      <c r="A157" s="314"/>
      <c r="B157" s="5" t="s">
        <v>10</v>
      </c>
      <c r="C157" s="2">
        <v>403</v>
      </c>
      <c r="D157" s="1">
        <v>47893</v>
      </c>
      <c r="E157" s="1">
        <v>48470</v>
      </c>
      <c r="F157" s="41">
        <f t="shared" si="17"/>
        <v>0.57699999999999996</v>
      </c>
      <c r="G157" s="22">
        <f t="shared" si="18"/>
        <v>2.2857611350188272</v>
      </c>
      <c r="H157" s="45">
        <f t="shared" si="19"/>
        <v>17.727061364084637</v>
      </c>
      <c r="I157" s="42">
        <f t="shared" si="20"/>
        <v>20.012822499103464</v>
      </c>
      <c r="J157" s="30">
        <f t="shared" si="21"/>
        <v>310</v>
      </c>
      <c r="K157" s="195"/>
      <c r="L157" s="27">
        <f t="shared" si="22"/>
        <v>330.01282249910344</v>
      </c>
    </row>
    <row r="158" spans="1:12" x14ac:dyDescent="0.45">
      <c r="A158" s="314"/>
      <c r="B158" s="5" t="s">
        <v>10</v>
      </c>
      <c r="C158" s="2">
        <v>404</v>
      </c>
      <c r="D158" s="1">
        <v>82818</v>
      </c>
      <c r="E158" s="1">
        <v>98342</v>
      </c>
      <c r="F158" s="41">
        <f>(E158-D158)*$N$1</f>
        <v>15.524000000000001</v>
      </c>
      <c r="G158" s="22">
        <f t="shared" si="18"/>
        <v>61.497670467993551</v>
      </c>
      <c r="H158" s="45">
        <f t="shared" si="19"/>
        <v>17.727061364084637</v>
      </c>
      <c r="I158" s="42">
        <f t="shared" si="20"/>
        <v>79.224731832078191</v>
      </c>
      <c r="J158" s="30">
        <f t="shared" si="21"/>
        <v>310</v>
      </c>
      <c r="K158" s="195">
        <v>10</v>
      </c>
      <c r="L158" s="27">
        <f>SUM(I158,J158,K158)</f>
        <v>399.22473183207819</v>
      </c>
    </row>
    <row r="159" spans="1:12" x14ac:dyDescent="0.45">
      <c r="A159" s="314"/>
      <c r="B159" s="5" t="s">
        <v>10</v>
      </c>
      <c r="C159" s="2">
        <v>501</v>
      </c>
      <c r="D159" s="1">
        <v>141622</v>
      </c>
      <c r="E159" s="1">
        <v>172562</v>
      </c>
      <c r="F159" s="41">
        <f t="shared" si="17"/>
        <v>30.94</v>
      </c>
      <c r="G159" s="22">
        <f t="shared" si="18"/>
        <v>122.56750349650351</v>
      </c>
      <c r="H159" s="45">
        <f t="shared" si="19"/>
        <v>17.727061364084637</v>
      </c>
      <c r="I159" s="42">
        <f t="shared" si="20"/>
        <v>140.29456486058814</v>
      </c>
      <c r="J159" s="30">
        <f t="shared" si="21"/>
        <v>310</v>
      </c>
      <c r="K159" s="195"/>
      <c r="L159" s="27">
        <f>SUM(I159,J159,K159)</f>
        <v>450.29456486058814</v>
      </c>
    </row>
    <row r="160" spans="1:12" x14ac:dyDescent="0.45">
      <c r="A160" s="314"/>
      <c r="B160" s="5" t="s">
        <v>10</v>
      </c>
      <c r="C160" s="2">
        <v>502</v>
      </c>
      <c r="D160" s="1">
        <v>2749241</v>
      </c>
      <c r="E160" s="1">
        <v>2767901</v>
      </c>
      <c r="F160" s="41">
        <f t="shared" si="17"/>
        <v>18.66</v>
      </c>
      <c r="G160" s="22">
        <f t="shared" si="18"/>
        <v>73.920802044109749</v>
      </c>
      <c r="H160" s="45">
        <f t="shared" si="19"/>
        <v>17.727061364084637</v>
      </c>
      <c r="I160" s="42">
        <f t="shared" si="20"/>
        <v>91.647863408194382</v>
      </c>
      <c r="J160" s="30">
        <f t="shared" si="21"/>
        <v>310</v>
      </c>
      <c r="K160" s="195"/>
      <c r="L160" s="27">
        <f t="shared" si="22"/>
        <v>401.64786340819438</v>
      </c>
    </row>
    <row r="161" spans="1:12" x14ac:dyDescent="0.45">
      <c r="A161" s="314"/>
      <c r="B161" s="5" t="s">
        <v>10</v>
      </c>
      <c r="C161" s="2">
        <v>503</v>
      </c>
      <c r="D161" s="1">
        <v>3745242</v>
      </c>
      <c r="E161" s="1">
        <v>3756605</v>
      </c>
      <c r="F161" s="41">
        <f t="shared" si="17"/>
        <v>11.363</v>
      </c>
      <c r="G161" s="22">
        <f t="shared" si="18"/>
        <v>45.014044674556217</v>
      </c>
      <c r="H161" s="45">
        <f t="shared" si="19"/>
        <v>17.727061364084637</v>
      </c>
      <c r="I161" s="42">
        <f t="shared" si="20"/>
        <v>62.741106038640851</v>
      </c>
      <c r="J161" s="30">
        <f t="shared" si="21"/>
        <v>310</v>
      </c>
      <c r="K161" s="195"/>
      <c r="L161" s="27">
        <f t="shared" si="22"/>
        <v>372.74110603864085</v>
      </c>
    </row>
    <row r="162" spans="1:12" x14ac:dyDescent="0.45">
      <c r="A162" s="314"/>
      <c r="B162" s="5" t="s">
        <v>10</v>
      </c>
      <c r="C162" s="2">
        <v>504</v>
      </c>
      <c r="D162" s="1">
        <v>3566655</v>
      </c>
      <c r="E162" s="1">
        <v>3589590</v>
      </c>
      <c r="F162" s="41">
        <f t="shared" si="17"/>
        <v>22.934999999999999</v>
      </c>
      <c r="G162" s="22">
        <f t="shared" si="18"/>
        <v>90.856034023668641</v>
      </c>
      <c r="H162" s="45">
        <f t="shared" si="19"/>
        <v>17.727061364084637</v>
      </c>
      <c r="I162" s="42">
        <f t="shared" si="20"/>
        <v>108.58309538775327</v>
      </c>
      <c r="J162" s="30">
        <f t="shared" si="21"/>
        <v>310</v>
      </c>
      <c r="K162" s="195">
        <v>10</v>
      </c>
      <c r="L162" s="27">
        <f t="shared" si="22"/>
        <v>428.58309538775325</v>
      </c>
    </row>
    <row r="163" spans="1:12" x14ac:dyDescent="0.45">
      <c r="A163" s="318"/>
      <c r="B163" s="5" t="s">
        <v>11</v>
      </c>
      <c r="C163" s="2">
        <v>101</v>
      </c>
      <c r="D163" s="1">
        <v>3020597</v>
      </c>
      <c r="E163" s="1">
        <v>3035279</v>
      </c>
      <c r="F163" s="41">
        <f t="shared" si="17"/>
        <v>14.682</v>
      </c>
      <c r="G163" s="22">
        <f t="shared" si="18"/>
        <v>58.162123023130718</v>
      </c>
      <c r="H163" s="45">
        <f t="shared" si="19"/>
        <v>17.727061364084637</v>
      </c>
      <c r="I163" s="42">
        <f t="shared" si="20"/>
        <v>75.889184387215352</v>
      </c>
      <c r="J163" s="30">
        <f t="shared" si="21"/>
        <v>310</v>
      </c>
      <c r="K163" s="195"/>
      <c r="L163" s="27">
        <f t="shared" si="22"/>
        <v>385.88918438721532</v>
      </c>
    </row>
    <row r="164" spans="1:12" x14ac:dyDescent="0.45">
      <c r="A164" s="318"/>
      <c r="B164" s="5" t="s">
        <v>11</v>
      </c>
      <c r="C164" s="2">
        <v>102</v>
      </c>
      <c r="D164" s="1">
        <v>2748324</v>
      </c>
      <c r="E164" s="1">
        <v>2775866</v>
      </c>
      <c r="F164" s="41">
        <f t="shared" si="17"/>
        <v>27.542000000000002</v>
      </c>
      <c r="G164" s="22">
        <f t="shared" si="18"/>
        <v>109.10646998386231</v>
      </c>
      <c r="H164" s="45">
        <f t="shared" si="19"/>
        <v>17.727061364084637</v>
      </c>
      <c r="I164" s="42">
        <f t="shared" si="20"/>
        <v>126.83353134794694</v>
      </c>
      <c r="J164" s="30">
        <f t="shared" si="21"/>
        <v>310</v>
      </c>
      <c r="K164" s="195"/>
      <c r="L164" s="27">
        <f t="shared" si="22"/>
        <v>436.83353134794697</v>
      </c>
    </row>
    <row r="165" spans="1:12" x14ac:dyDescent="0.45">
      <c r="A165" s="318"/>
      <c r="B165" s="5" t="s">
        <v>11</v>
      </c>
      <c r="C165" s="2">
        <v>103</v>
      </c>
      <c r="D165" s="1">
        <v>2371954</v>
      </c>
      <c r="E165" s="1">
        <v>2378022</v>
      </c>
      <c r="F165" s="41">
        <f t="shared" si="17"/>
        <v>6.0680000000000005</v>
      </c>
      <c r="G165" s="22">
        <f t="shared" si="18"/>
        <v>24.038125766541153</v>
      </c>
      <c r="H165" s="45">
        <f t="shared" si="19"/>
        <v>17.727061364084637</v>
      </c>
      <c r="I165" s="42">
        <f t="shared" si="20"/>
        <v>41.76518713062579</v>
      </c>
      <c r="J165" s="30">
        <f t="shared" si="21"/>
        <v>310</v>
      </c>
      <c r="K165" s="195">
        <v>10</v>
      </c>
      <c r="L165" s="27">
        <f t="shared" si="22"/>
        <v>361.7651871306258</v>
      </c>
    </row>
    <row r="166" spans="1:12" x14ac:dyDescent="0.45">
      <c r="A166" s="318"/>
      <c r="B166" s="5" t="s">
        <v>11</v>
      </c>
      <c r="C166" s="2">
        <v>104</v>
      </c>
      <c r="D166" s="1">
        <v>2795459</v>
      </c>
      <c r="E166" s="1">
        <v>2827466</v>
      </c>
      <c r="F166" s="41">
        <f t="shared" si="17"/>
        <v>32.006999999999998</v>
      </c>
      <c r="G166" s="22">
        <f t="shared" si="18"/>
        <v>126.79437894029049</v>
      </c>
      <c r="H166" s="45">
        <f t="shared" si="19"/>
        <v>17.727061364084637</v>
      </c>
      <c r="I166" s="42">
        <f t="shared" si="20"/>
        <v>144.52144030437512</v>
      </c>
      <c r="J166" s="30">
        <f t="shared" si="21"/>
        <v>310</v>
      </c>
      <c r="K166" s="195">
        <v>10</v>
      </c>
      <c r="L166" s="27">
        <f t="shared" si="22"/>
        <v>464.52144030437512</v>
      </c>
    </row>
    <row r="167" spans="1:12" x14ac:dyDescent="0.45">
      <c r="A167" s="318"/>
      <c r="B167" s="5" t="s">
        <v>11</v>
      </c>
      <c r="C167" s="2">
        <v>201</v>
      </c>
      <c r="D167" s="1">
        <v>2095483</v>
      </c>
      <c r="E167" s="1">
        <v>2115244</v>
      </c>
      <c r="F167" s="41">
        <f t="shared" si="17"/>
        <v>19.760999999999999</v>
      </c>
      <c r="G167" s="22">
        <f t="shared" si="18"/>
        <v>78.2823670521786</v>
      </c>
      <c r="H167" s="45">
        <f t="shared" si="19"/>
        <v>17.727061364084637</v>
      </c>
      <c r="I167" s="42">
        <f t="shared" si="20"/>
        <v>96.009428416263233</v>
      </c>
      <c r="J167" s="30">
        <f t="shared" si="21"/>
        <v>310</v>
      </c>
      <c r="K167" s="195"/>
      <c r="L167" s="27">
        <f t="shared" si="22"/>
        <v>406.00942841626323</v>
      </c>
    </row>
    <row r="168" spans="1:12" x14ac:dyDescent="0.45">
      <c r="A168" s="318"/>
      <c r="B168" s="5" t="s">
        <v>11</v>
      </c>
      <c r="C168" s="2">
        <v>202</v>
      </c>
      <c r="D168" s="1">
        <v>127967</v>
      </c>
      <c r="E168" s="1">
        <v>148932</v>
      </c>
      <c r="F168" s="41">
        <f t="shared" si="17"/>
        <v>20.965</v>
      </c>
      <c r="G168" s="22">
        <f t="shared" si="18"/>
        <v>83.051962210866066</v>
      </c>
      <c r="H168" s="45">
        <f t="shared" si="19"/>
        <v>17.727061364084637</v>
      </c>
      <c r="I168" s="42">
        <f t="shared" si="20"/>
        <v>100.7790235749507</v>
      </c>
      <c r="J168" s="30">
        <f t="shared" si="21"/>
        <v>310</v>
      </c>
      <c r="K168" s="195">
        <v>10</v>
      </c>
      <c r="L168" s="27">
        <f t="shared" si="22"/>
        <v>420.77902357495071</v>
      </c>
    </row>
    <row r="169" spans="1:12" x14ac:dyDescent="0.45">
      <c r="A169" s="318"/>
      <c r="B169" s="5" t="s">
        <v>11</v>
      </c>
      <c r="C169" s="2">
        <v>203</v>
      </c>
      <c r="D169" s="1">
        <v>2719216</v>
      </c>
      <c r="E169" s="1">
        <v>2741973</v>
      </c>
      <c r="F169" s="41">
        <f t="shared" si="17"/>
        <v>22.757000000000001</v>
      </c>
      <c r="G169" s="22">
        <f t="shared" si="18"/>
        <v>90.150894540075328</v>
      </c>
      <c r="H169" s="45">
        <f t="shared" si="19"/>
        <v>17.727061364084637</v>
      </c>
      <c r="I169" s="42">
        <f t="shared" si="20"/>
        <v>107.87795590415996</v>
      </c>
      <c r="J169" s="30">
        <f t="shared" si="21"/>
        <v>310</v>
      </c>
      <c r="K169" s="195"/>
      <c r="L169" s="27">
        <f t="shared" si="22"/>
        <v>417.87795590415999</v>
      </c>
    </row>
    <row r="170" spans="1:12" x14ac:dyDescent="0.45">
      <c r="A170" s="318"/>
      <c r="B170" s="5" t="s">
        <v>11</v>
      </c>
      <c r="C170" s="2">
        <v>204</v>
      </c>
      <c r="D170" s="1">
        <v>2325134</v>
      </c>
      <c r="E170" s="1">
        <v>2337919</v>
      </c>
      <c r="F170" s="41">
        <f t="shared" si="17"/>
        <v>12.785</v>
      </c>
      <c r="G170" s="22">
        <f t="shared" si="18"/>
        <v>50.647237627756866</v>
      </c>
      <c r="H170" s="45">
        <f t="shared" si="19"/>
        <v>17.727061364084637</v>
      </c>
      <c r="I170" s="42">
        <f t="shared" si="20"/>
        <v>68.374298991841499</v>
      </c>
      <c r="J170" s="30">
        <f t="shared" si="21"/>
        <v>310</v>
      </c>
      <c r="K170" s="195"/>
      <c r="L170" s="27">
        <f t="shared" si="22"/>
        <v>378.3742989918415</v>
      </c>
    </row>
    <row r="171" spans="1:12" x14ac:dyDescent="0.45">
      <c r="A171" s="318"/>
      <c r="B171" s="5" t="s">
        <v>11</v>
      </c>
      <c r="C171" s="2">
        <v>301</v>
      </c>
      <c r="D171" s="1">
        <v>3374585</v>
      </c>
      <c r="E171" s="1">
        <v>3387042</v>
      </c>
      <c r="F171" s="41">
        <f t="shared" si="17"/>
        <v>12.457000000000001</v>
      </c>
      <c r="G171" s="22">
        <f t="shared" si="18"/>
        <v>49.347879478214097</v>
      </c>
      <c r="H171" s="45">
        <f t="shared" si="19"/>
        <v>17.727061364084637</v>
      </c>
      <c r="I171" s="42">
        <f t="shared" si="20"/>
        <v>67.07494084229873</v>
      </c>
      <c r="J171" s="30">
        <f t="shared" si="21"/>
        <v>310</v>
      </c>
      <c r="K171" s="195"/>
      <c r="L171" s="27">
        <f t="shared" si="22"/>
        <v>377.0749408422987</v>
      </c>
    </row>
    <row r="172" spans="1:12" x14ac:dyDescent="0.45">
      <c r="A172" s="318"/>
      <c r="B172" s="5" t="s">
        <v>11</v>
      </c>
      <c r="C172" s="2">
        <v>302</v>
      </c>
      <c r="D172" s="1">
        <v>2689438</v>
      </c>
      <c r="E172" s="1">
        <v>2699864</v>
      </c>
      <c r="F172" s="41">
        <f t="shared" si="17"/>
        <v>10.426</v>
      </c>
      <c r="G172" s="22">
        <f t="shared" si="18"/>
        <v>41.302158741258744</v>
      </c>
      <c r="H172" s="45">
        <f t="shared" si="19"/>
        <v>17.727061364084637</v>
      </c>
      <c r="I172" s="42">
        <f t="shared" si="20"/>
        <v>59.029220105343384</v>
      </c>
      <c r="J172" s="30">
        <f t="shared" si="21"/>
        <v>310</v>
      </c>
      <c r="K172" s="195">
        <v>10</v>
      </c>
      <c r="L172" s="27">
        <f t="shared" si="22"/>
        <v>379.02922010534337</v>
      </c>
    </row>
    <row r="173" spans="1:12" x14ac:dyDescent="0.45">
      <c r="A173" s="318"/>
      <c r="B173" s="5" t="s">
        <v>11</v>
      </c>
      <c r="C173" s="2">
        <v>303</v>
      </c>
      <c r="D173" s="1">
        <v>2470108</v>
      </c>
      <c r="E173" s="1">
        <v>2485783</v>
      </c>
      <c r="F173" s="41">
        <f t="shared" si="17"/>
        <v>15.675000000000001</v>
      </c>
      <c r="G173" s="22">
        <f t="shared" si="18"/>
        <v>62.095850591715987</v>
      </c>
      <c r="H173" s="45">
        <f t="shared" si="19"/>
        <v>17.727061364084637</v>
      </c>
      <c r="I173" s="42">
        <f t="shared" si="20"/>
        <v>79.82291195580062</v>
      </c>
      <c r="J173" s="30">
        <f t="shared" si="21"/>
        <v>310</v>
      </c>
      <c r="K173" s="195"/>
      <c r="L173" s="27">
        <f t="shared" si="22"/>
        <v>389.82291195580063</v>
      </c>
    </row>
    <row r="174" spans="1:12" x14ac:dyDescent="0.45">
      <c r="A174" s="318"/>
      <c r="B174" s="5" t="s">
        <v>11</v>
      </c>
      <c r="C174" s="2">
        <v>304</v>
      </c>
      <c r="D174" s="1">
        <v>5319455</v>
      </c>
      <c r="E174" s="1">
        <v>5345069</v>
      </c>
      <c r="F174" s="41">
        <f t="shared" si="17"/>
        <v>25.614000000000001</v>
      </c>
      <c r="G174" s="22">
        <f t="shared" si="18"/>
        <v>101.46877939752557</v>
      </c>
      <c r="H174" s="45">
        <f t="shared" si="19"/>
        <v>17.727061364084637</v>
      </c>
      <c r="I174" s="42">
        <f t="shared" si="20"/>
        <v>119.1958407616102</v>
      </c>
      <c r="J174" s="30">
        <f t="shared" si="21"/>
        <v>310</v>
      </c>
      <c r="K174" s="195"/>
      <c r="L174" s="27">
        <f t="shared" si="22"/>
        <v>429.19584076161021</v>
      </c>
    </row>
    <row r="175" spans="1:12" x14ac:dyDescent="0.45">
      <c r="A175" s="318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17.727061364084637</v>
      </c>
      <c r="I175" s="42">
        <f t="shared" si="20"/>
        <v>17.727061364084637</v>
      </c>
      <c r="J175" s="30">
        <f t="shared" si="21"/>
        <v>310</v>
      </c>
      <c r="K175" s="195">
        <v>10</v>
      </c>
      <c r="L175" s="27">
        <f t="shared" si="22"/>
        <v>337.72706136408465</v>
      </c>
    </row>
    <row r="176" spans="1:12" x14ac:dyDescent="0.45">
      <c r="A176" s="318"/>
      <c r="B176" s="5" t="s">
        <v>11</v>
      </c>
      <c r="C176" s="2">
        <v>402</v>
      </c>
      <c r="D176" s="1">
        <v>1996437</v>
      </c>
      <c r="E176" s="1">
        <v>2004501</v>
      </c>
      <c r="F176" s="41">
        <f t="shared" si="17"/>
        <v>8.0640000000000001</v>
      </c>
      <c r="G176" s="22">
        <f t="shared" si="18"/>
        <v>31.945195481441637</v>
      </c>
      <c r="H176" s="45">
        <f t="shared" si="19"/>
        <v>17.727061364084637</v>
      </c>
      <c r="I176" s="42">
        <f t="shared" si="20"/>
        <v>49.672256845526277</v>
      </c>
      <c r="J176" s="30">
        <f t="shared" si="21"/>
        <v>310</v>
      </c>
      <c r="K176" s="195"/>
      <c r="L176" s="27">
        <f t="shared" si="22"/>
        <v>359.67225684552625</v>
      </c>
    </row>
    <row r="177" spans="1:12" x14ac:dyDescent="0.45">
      <c r="A177" s="318"/>
      <c r="B177" s="5" t="s">
        <v>11</v>
      </c>
      <c r="C177" s="2">
        <v>403</v>
      </c>
      <c r="D177" s="1">
        <v>3220424</v>
      </c>
      <c r="E177" s="1">
        <v>3236791</v>
      </c>
      <c r="F177" s="41">
        <f t="shared" si="17"/>
        <v>16.367000000000001</v>
      </c>
      <c r="G177" s="22">
        <f t="shared" si="18"/>
        <v>64.837179370629372</v>
      </c>
      <c r="H177" s="45">
        <f t="shared" si="19"/>
        <v>17.727061364084637</v>
      </c>
      <c r="I177" s="42">
        <f t="shared" si="20"/>
        <v>82.564240734714005</v>
      </c>
      <c r="J177" s="30">
        <f t="shared" si="21"/>
        <v>310</v>
      </c>
      <c r="K177" s="195"/>
      <c r="L177" s="27">
        <f t="shared" si="22"/>
        <v>392.56424073471402</v>
      </c>
    </row>
    <row r="178" spans="1:12" x14ac:dyDescent="0.45">
      <c r="A178" s="318"/>
      <c r="B178" s="5" t="s">
        <v>11</v>
      </c>
      <c r="C178" s="2">
        <v>404</v>
      </c>
      <c r="D178" s="1">
        <v>0</v>
      </c>
      <c r="E178" s="1">
        <v>14129</v>
      </c>
      <c r="F178" s="41">
        <f t="shared" si="17"/>
        <v>14.129</v>
      </c>
      <c r="G178" s="22">
        <f t="shared" si="18"/>
        <v>55.971436874663802</v>
      </c>
      <c r="H178" s="45">
        <f t="shared" si="19"/>
        <v>17.727061364084637</v>
      </c>
      <c r="I178" s="42">
        <f t="shared" si="20"/>
        <v>73.698498238748442</v>
      </c>
      <c r="J178" s="30">
        <f t="shared" si="21"/>
        <v>310</v>
      </c>
      <c r="K178" s="195"/>
      <c r="L178" s="27">
        <f t="shared" si="22"/>
        <v>383.69849823874847</v>
      </c>
    </row>
    <row r="179" spans="1:12" x14ac:dyDescent="0.45">
      <c r="A179" s="318"/>
      <c r="B179" s="5" t="s">
        <v>11</v>
      </c>
      <c r="C179" s="2">
        <v>501</v>
      </c>
      <c r="D179" s="1">
        <v>3864245</v>
      </c>
      <c r="E179" s="1">
        <v>3895724</v>
      </c>
      <c r="F179" s="41">
        <f t="shared" si="17"/>
        <v>31.478999999999999</v>
      </c>
      <c r="G179" s="22">
        <f t="shared" si="18"/>
        <v>124.70272923614847</v>
      </c>
      <c r="H179" s="45">
        <f t="shared" si="19"/>
        <v>17.727061364084637</v>
      </c>
      <c r="I179" s="42">
        <f t="shared" si="20"/>
        <v>142.4297906002331</v>
      </c>
      <c r="J179" s="30">
        <f t="shared" si="21"/>
        <v>310</v>
      </c>
      <c r="K179" s="195">
        <v>100</v>
      </c>
      <c r="L179" s="27">
        <f t="shared" si="22"/>
        <v>552.4297906002331</v>
      </c>
    </row>
    <row r="180" spans="1:12" x14ac:dyDescent="0.45">
      <c r="A180" s="318"/>
      <c r="B180" s="5" t="s">
        <v>11</v>
      </c>
      <c r="C180" s="2">
        <v>502</v>
      </c>
      <c r="D180" s="1">
        <v>3894808</v>
      </c>
      <c r="E180" s="1">
        <v>3913206</v>
      </c>
      <c r="F180" s="41">
        <f t="shared" si="17"/>
        <v>18.398</v>
      </c>
      <c r="G180" s="22">
        <f t="shared" si="18"/>
        <v>72.882900107584732</v>
      </c>
      <c r="H180" s="45">
        <f t="shared" si="19"/>
        <v>17.727061364084637</v>
      </c>
      <c r="I180" s="42">
        <f t="shared" si="20"/>
        <v>90.609961471669365</v>
      </c>
      <c r="J180" s="30">
        <f t="shared" si="21"/>
        <v>310</v>
      </c>
      <c r="K180" s="195"/>
      <c r="L180" s="27">
        <f t="shared" si="22"/>
        <v>400.60996147166935</v>
      </c>
    </row>
    <row r="181" spans="1:12" x14ac:dyDescent="0.45">
      <c r="A181" s="318"/>
      <c r="B181" s="5" t="s">
        <v>11</v>
      </c>
      <c r="C181" s="2">
        <v>503</v>
      </c>
      <c r="D181" s="1">
        <v>2371614</v>
      </c>
      <c r="E181" s="1">
        <v>2386627</v>
      </c>
      <c r="F181" s="41">
        <f t="shared" si="17"/>
        <v>15.013</v>
      </c>
      <c r="G181" s="22">
        <f t="shared" si="18"/>
        <v>59.473365545992472</v>
      </c>
      <c r="H181" s="45">
        <f t="shared" si="19"/>
        <v>17.727061364084637</v>
      </c>
      <c r="I181" s="42">
        <f t="shared" si="20"/>
        <v>77.200426910077113</v>
      </c>
      <c r="J181" s="30">
        <f t="shared" si="21"/>
        <v>310</v>
      </c>
      <c r="K181" s="195"/>
      <c r="L181" s="27">
        <f t="shared" si="22"/>
        <v>387.20042691007711</v>
      </c>
    </row>
    <row r="182" spans="1:12" x14ac:dyDescent="0.45">
      <c r="A182" s="318"/>
      <c r="B182" s="5" t="s">
        <v>11</v>
      </c>
      <c r="C182" s="2">
        <v>504</v>
      </c>
      <c r="D182" s="1">
        <v>3226146</v>
      </c>
      <c r="E182" s="1">
        <v>3258421</v>
      </c>
      <c r="F182" s="41">
        <f t="shared" si="17"/>
        <v>32.274999999999999</v>
      </c>
      <c r="G182" s="22">
        <f t="shared" si="18"/>
        <v>127.85604962345347</v>
      </c>
      <c r="H182" s="45">
        <f>MMULT($H$1,1/180)</f>
        <v>17.727061364084637</v>
      </c>
      <c r="I182" s="42">
        <f t="shared" si="20"/>
        <v>145.58311098753811</v>
      </c>
      <c r="J182" s="30">
        <f t="shared" si="21"/>
        <v>310</v>
      </c>
      <c r="K182" s="195"/>
      <c r="L182" s="27">
        <f t="shared" si="22"/>
        <v>455.58311098753813</v>
      </c>
    </row>
    <row r="183" spans="1:12" ht="15" customHeight="1" x14ac:dyDescent="0.45">
      <c r="F183" s="193">
        <f>SUM(F3:F182)</f>
        <v>2912.5209999999997</v>
      </c>
      <c r="G183" s="22">
        <f t="shared" si="18"/>
        <v>11537.828954464765</v>
      </c>
      <c r="H183" s="45">
        <f>SUM(H3:H182)</f>
        <v>3190.8710455352216</v>
      </c>
      <c r="I183" s="42">
        <f>SUM(G183,H183)</f>
        <v>14728.699999999986</v>
      </c>
      <c r="K183" s="161" t="s">
        <v>12</v>
      </c>
    </row>
    <row r="184" spans="1:12" ht="15" customHeight="1" x14ac:dyDescent="0.45">
      <c r="F184" t="s">
        <v>12</v>
      </c>
      <c r="I184" s="109">
        <f>SUM(-E190,I1)</f>
        <v>0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  <c r="I186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  <c r="I187"/>
    </row>
    <row r="188" spans="1:12" ht="15" customHeight="1" x14ac:dyDescent="0.45">
      <c r="D188" s="46">
        <v>6244656</v>
      </c>
      <c r="E188" s="87">
        <v>7317.3</v>
      </c>
      <c r="F188" s="93">
        <v>1893</v>
      </c>
      <c r="G188" s="92">
        <f>MMULT(E188,1/F188)</f>
        <v>3.8654516640253567</v>
      </c>
      <c r="H188" s="20"/>
      <c r="I188"/>
    </row>
    <row r="189" spans="1:12" ht="15" customHeight="1" thickBot="1" x14ac:dyDescent="0.5">
      <c r="D189" s="46">
        <v>6244619</v>
      </c>
      <c r="E189" s="87">
        <v>7411.4</v>
      </c>
      <c r="F189" s="93">
        <v>1825</v>
      </c>
      <c r="G189" s="92">
        <f>MMULT(E189,1/F189)</f>
        <v>4.0610410958904106</v>
      </c>
      <c r="H189" s="152"/>
      <c r="I189"/>
    </row>
    <row r="190" spans="1:12" ht="15" customHeight="1" thickBot="1" x14ac:dyDescent="0.5">
      <c r="D190" s="6" t="s">
        <v>33</v>
      </c>
      <c r="E190" s="48">
        <f>SUM(E188:E189)</f>
        <v>14728.7</v>
      </c>
      <c r="F190" s="95">
        <f>SUM(F188:F189)</f>
        <v>3718</v>
      </c>
      <c r="H190" s="61"/>
      <c r="I190"/>
    </row>
    <row r="191" spans="1:12" ht="15" customHeight="1" x14ac:dyDescent="0.45">
      <c r="E191" s="6" t="s">
        <v>12</v>
      </c>
      <c r="H191" s="61"/>
      <c r="J191" s="6"/>
      <c r="L191" s="6"/>
    </row>
    <row r="192" spans="1:12" ht="15" customHeight="1" x14ac:dyDescent="0.45">
      <c r="D192" s="319" t="s">
        <v>69</v>
      </c>
      <c r="E192" s="319"/>
      <c r="F192" s="49">
        <f>SUM(F190)</f>
        <v>3718</v>
      </c>
      <c r="G192" s="156">
        <f>MMULT(E190,1/F190)</f>
        <v>3.9614577729962344</v>
      </c>
      <c r="H192" s="155" t="s">
        <v>12</v>
      </c>
      <c r="I192" s="157" cm="1">
        <f t="array" ref="I192">MMULT(E190,1/F190)</f>
        <v>3.9614577729962344</v>
      </c>
    </row>
    <row r="193" spans="4:8" ht="15" customHeight="1" x14ac:dyDescent="0.45">
      <c r="D193" s="320" t="s">
        <v>271</v>
      </c>
      <c r="E193" s="321"/>
      <c r="F193" s="49">
        <f>SUM(F183)</f>
        <v>2912.5209999999997</v>
      </c>
      <c r="G193" s="27">
        <f>MMULT(F193,G192)</f>
        <v>11537.828954464765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805.47900000000027</v>
      </c>
      <c r="G194" s="158">
        <f>MMULT(F194,G192)</f>
        <v>3190.8710455352348</v>
      </c>
      <c r="H194" s="61"/>
    </row>
    <row r="195" spans="4:8" ht="15" customHeight="1" thickBot="1" x14ac:dyDescent="0.5">
      <c r="F195" s="7"/>
      <c r="G195" s="48">
        <f>SUM(G193:G194)</f>
        <v>14728.7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56.744</v>
      </c>
      <c r="G198" s="20">
        <f>MAX(I3:I182)</f>
        <v>242.51602123498299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17.727061364084637</v>
      </c>
    </row>
    <row r="200" spans="4:8" ht="15" customHeight="1" x14ac:dyDescent="0.45">
      <c r="D200" t="s">
        <v>265</v>
      </c>
      <c r="F200" s="92">
        <f>AVERAGE(F3:F182)</f>
        <v>16.180672222222221</v>
      </c>
      <c r="G200" s="92">
        <f>AVERAGE(G3:G182)</f>
        <v>64.099049747026498</v>
      </c>
    </row>
    <row r="201" spans="4:8" ht="15" customHeight="1" x14ac:dyDescent="0.45">
      <c r="D201" t="s">
        <v>273</v>
      </c>
      <c r="F201" s="92">
        <f>AVERAGE(F199,F198)</f>
        <v>28.372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2281-F2AA-4AD9-BC9B-79B1EADBEFB9}">
  <dimension ref="A1:P2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I1" sqref="I1:J1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11430.249129193593</v>
      </c>
      <c r="H1" s="27">
        <f>SUM(G194)</f>
        <v>2521.3508708064078</v>
      </c>
      <c r="I1" s="316">
        <f>SUM(G1:H1)</f>
        <v>13951.6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43992</v>
      </c>
      <c r="E2" s="3">
        <v>44022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3085280</v>
      </c>
      <c r="E3" s="1">
        <v>3095728</v>
      </c>
      <c r="F3" s="41">
        <f>(E3-D3)*$N$1</f>
        <v>10.448</v>
      </c>
      <c r="G3" s="22">
        <f>MMULT($G$1,1/$F$183)*F3</f>
        <v>40.957099409946622</v>
      </c>
      <c r="H3" s="45">
        <f>MMULT($H$1,1/180)</f>
        <v>14.007504837813377</v>
      </c>
      <c r="I3" s="42">
        <f>SUM(G3,H3)</f>
        <v>54.964604247760001</v>
      </c>
      <c r="J3" s="30">
        <v>310</v>
      </c>
      <c r="K3" s="195"/>
      <c r="L3" s="27">
        <f>SUM(I3,J3,K3)</f>
        <v>364.96460424776001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1955289</v>
      </c>
      <c r="E4" s="1">
        <v>1965127</v>
      </c>
      <c r="F4" s="41">
        <f t="shared" ref="F4:F22" si="0">(E4-D4)*$N$1</f>
        <v>9.838000000000001</v>
      </c>
      <c r="G4" s="22">
        <f t="shared" ref="G4:G67" si="1">MMULT($G$1,1/$F$183)*F4</f>
        <v>38.565844563079523</v>
      </c>
      <c r="H4" s="45">
        <f t="shared" ref="H4:H67" si="2">MMULT($H$1,1/180)</f>
        <v>14.007504837813377</v>
      </c>
      <c r="I4" s="42">
        <f t="shared" ref="I4:I67" si="3">SUM(G4,H4)</f>
        <v>52.573349400892901</v>
      </c>
      <c r="J4" s="30">
        <f>SUM($J$3)</f>
        <v>310</v>
      </c>
      <c r="K4" s="195"/>
      <c r="L4" s="27">
        <f t="shared" ref="L4:L67" si="4">SUM(I4,J4,K4)</f>
        <v>362.57334940089288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2881052</v>
      </c>
      <c r="E5" s="1">
        <v>2891786</v>
      </c>
      <c r="F5" s="41">
        <f t="shared" si="0"/>
        <v>10.734</v>
      </c>
      <c r="G5" s="22">
        <f t="shared" si="1"/>
        <v>42.078245125035124</v>
      </c>
      <c r="H5" s="45">
        <f t="shared" si="2"/>
        <v>14.007504837813377</v>
      </c>
      <c r="I5" s="42">
        <f t="shared" si="3"/>
        <v>56.085749962848503</v>
      </c>
      <c r="J5" s="30">
        <f t="shared" ref="J5:J68" si="5">SUM($J$3)</f>
        <v>310</v>
      </c>
      <c r="K5" s="195"/>
      <c r="L5" s="27">
        <f t="shared" si="4"/>
        <v>366.08574996284852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2486622</v>
      </c>
      <c r="E6" s="1">
        <v>2497847</v>
      </c>
      <c r="F6" s="41">
        <f t="shared" si="0"/>
        <v>11.225</v>
      </c>
      <c r="G6" s="22">
        <f t="shared" si="1"/>
        <v>44.003009272267491</v>
      </c>
      <c r="H6" s="45">
        <f t="shared" si="2"/>
        <v>14.007504837813377</v>
      </c>
      <c r="I6" s="42">
        <f t="shared" si="3"/>
        <v>58.010514110080869</v>
      </c>
      <c r="J6" s="30">
        <f t="shared" si="5"/>
        <v>310</v>
      </c>
      <c r="K6" s="195"/>
      <c r="L6" s="27">
        <f t="shared" si="4"/>
        <v>368.01051411008086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3632977</v>
      </c>
      <c r="E7" s="1">
        <v>3652196</v>
      </c>
      <c r="F7" s="41">
        <f t="shared" si="0"/>
        <v>19.219000000000001</v>
      </c>
      <c r="G7" s="22">
        <f t="shared" si="1"/>
        <v>75.340208035965176</v>
      </c>
      <c r="H7" s="45">
        <f t="shared" si="2"/>
        <v>14.007504837813377</v>
      </c>
      <c r="I7" s="42">
        <f t="shared" si="3"/>
        <v>89.347712873778548</v>
      </c>
      <c r="J7" s="30">
        <f t="shared" si="5"/>
        <v>310</v>
      </c>
      <c r="K7" s="195"/>
      <c r="L7" s="27">
        <f t="shared" si="4"/>
        <v>399.34771287377856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103591</v>
      </c>
      <c r="E8" s="1">
        <v>119647</v>
      </c>
      <c r="F8" s="41">
        <f t="shared" si="0"/>
        <v>16.056000000000001</v>
      </c>
      <c r="G8" s="22">
        <f t="shared" si="1"/>
        <v>62.940963641472337</v>
      </c>
      <c r="H8" s="45">
        <f t="shared" si="2"/>
        <v>14.007504837813377</v>
      </c>
      <c r="I8" s="42">
        <f t="shared" si="3"/>
        <v>76.948468479285708</v>
      </c>
      <c r="J8" s="30">
        <f t="shared" si="5"/>
        <v>310</v>
      </c>
      <c r="K8" s="195"/>
      <c r="L8" s="27">
        <f t="shared" si="4"/>
        <v>386.94846847928568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4835529</v>
      </c>
      <c r="E9" s="1">
        <v>4859641</v>
      </c>
      <c r="F9" s="41">
        <f t="shared" si="0"/>
        <v>24.112000000000002</v>
      </c>
      <c r="G9" s="22">
        <f t="shared" si="1"/>
        <v>94.521207979769613</v>
      </c>
      <c r="H9" s="45">
        <f t="shared" si="2"/>
        <v>14.007504837813377</v>
      </c>
      <c r="I9" s="42">
        <f t="shared" si="3"/>
        <v>108.52871281758298</v>
      </c>
      <c r="J9" s="30">
        <f t="shared" si="5"/>
        <v>310</v>
      </c>
      <c r="K9" s="195"/>
      <c r="L9" s="27">
        <f t="shared" si="4"/>
        <v>418.52871281758297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1910897</v>
      </c>
      <c r="E10" s="1">
        <v>1923571</v>
      </c>
      <c r="F10" s="41">
        <f t="shared" si="0"/>
        <v>12.673999999999999</v>
      </c>
      <c r="G10" s="22">
        <f t="shared" si="1"/>
        <v>49.683219556055079</v>
      </c>
      <c r="H10" s="45">
        <f t="shared" si="2"/>
        <v>14.007504837813377</v>
      </c>
      <c r="I10" s="42">
        <f t="shared" si="3"/>
        <v>63.690724393868457</v>
      </c>
      <c r="J10" s="30">
        <f t="shared" si="5"/>
        <v>310</v>
      </c>
      <c r="K10" s="195"/>
      <c r="L10" s="27">
        <f t="shared" si="4"/>
        <v>373.69072439386844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3933712</v>
      </c>
      <c r="E11" s="1">
        <v>3939215</v>
      </c>
      <c r="F11" s="41">
        <f t="shared" si="0"/>
        <v>5.5030000000000001</v>
      </c>
      <c r="G11" s="22">
        <f t="shared" si="1"/>
        <v>21.57225479067154</v>
      </c>
      <c r="H11" s="45">
        <f t="shared" si="2"/>
        <v>14.007504837813377</v>
      </c>
      <c r="I11" s="42">
        <f t="shared" si="3"/>
        <v>35.579759628484915</v>
      </c>
      <c r="J11" s="30">
        <f t="shared" si="5"/>
        <v>310</v>
      </c>
      <c r="K11" s="195">
        <v>10</v>
      </c>
      <c r="L11" s="27">
        <f t="shared" si="4"/>
        <v>355.57975962848491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4266373</v>
      </c>
      <c r="E12" s="1">
        <v>4287525</v>
      </c>
      <c r="F12" s="41">
        <f t="shared" si="0"/>
        <v>21.152000000000001</v>
      </c>
      <c r="G12" s="22">
        <f t="shared" si="1"/>
        <v>82.917741837594846</v>
      </c>
      <c r="H12" s="45">
        <f t="shared" si="2"/>
        <v>14.007504837813377</v>
      </c>
      <c r="I12" s="42">
        <f t="shared" si="3"/>
        <v>96.925246675408218</v>
      </c>
      <c r="J12" s="30">
        <f t="shared" si="5"/>
        <v>310</v>
      </c>
      <c r="K12" s="195"/>
      <c r="L12" s="27">
        <f t="shared" si="4"/>
        <v>406.92524667540823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3553532</v>
      </c>
      <c r="E13" s="1">
        <v>3572031</v>
      </c>
      <c r="F13" s="41">
        <f t="shared" si="0"/>
        <v>18.498999999999999</v>
      </c>
      <c r="G13" s="22">
        <f t="shared" si="1"/>
        <v>72.517743298679406</v>
      </c>
      <c r="H13" s="45">
        <f t="shared" si="2"/>
        <v>14.007504837813377</v>
      </c>
      <c r="I13" s="42">
        <f t="shared" si="3"/>
        <v>86.525248136492777</v>
      </c>
      <c r="J13" s="30">
        <f t="shared" si="5"/>
        <v>310</v>
      </c>
      <c r="K13" s="195"/>
      <c r="L13" s="27">
        <f t="shared" si="4"/>
        <v>396.52524813649279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1603923</v>
      </c>
      <c r="E14" s="1">
        <v>1619207</v>
      </c>
      <c r="F14" s="41">
        <f t="shared" si="0"/>
        <v>15.284000000000001</v>
      </c>
      <c r="G14" s="22">
        <f t="shared" si="1"/>
        <v>59.914654228715939</v>
      </c>
      <c r="H14" s="45">
        <f t="shared" si="2"/>
        <v>14.007504837813377</v>
      </c>
      <c r="I14" s="42">
        <f t="shared" si="3"/>
        <v>73.922159066529318</v>
      </c>
      <c r="J14" s="30">
        <f t="shared" si="5"/>
        <v>310</v>
      </c>
      <c r="K14" s="195"/>
      <c r="L14" s="27">
        <f t="shared" si="4"/>
        <v>383.92215906652933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2208690</v>
      </c>
      <c r="E15" s="1">
        <v>2213591</v>
      </c>
      <c r="F15" s="41">
        <f t="shared" si="0"/>
        <v>4.9009999999999998</v>
      </c>
      <c r="G15" s="22">
        <f t="shared" si="1"/>
        <v>19.212360663107617</v>
      </c>
      <c r="H15" s="45">
        <f t="shared" si="2"/>
        <v>14.007504837813377</v>
      </c>
      <c r="I15" s="42">
        <f t="shared" si="3"/>
        <v>33.219865500920996</v>
      </c>
      <c r="J15" s="30">
        <f t="shared" si="5"/>
        <v>310</v>
      </c>
      <c r="K15" s="195"/>
      <c r="L15" s="27">
        <f t="shared" si="4"/>
        <v>343.219865500921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5549776</v>
      </c>
      <c r="E16" s="1">
        <v>5561843</v>
      </c>
      <c r="F16" s="41">
        <f t="shared" si="0"/>
        <v>12.067</v>
      </c>
      <c r="G16" s="22">
        <f t="shared" si="1"/>
        <v>47.303724978926674</v>
      </c>
      <c r="H16" s="45">
        <f t="shared" si="2"/>
        <v>14.007504837813377</v>
      </c>
      <c r="I16" s="42">
        <f t="shared" si="3"/>
        <v>61.311229816740052</v>
      </c>
      <c r="J16" s="30">
        <f t="shared" si="5"/>
        <v>310</v>
      </c>
      <c r="K16" s="195"/>
      <c r="L16" s="27">
        <f t="shared" si="4"/>
        <v>371.31122981674002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2969809</v>
      </c>
      <c r="E17" s="1">
        <v>2979504</v>
      </c>
      <c r="F17" s="41">
        <f t="shared" si="0"/>
        <v>9.6950000000000003</v>
      </c>
      <c r="G17" s="22">
        <f t="shared" si="1"/>
        <v>38.005271705535272</v>
      </c>
      <c r="H17" s="45">
        <f t="shared" si="2"/>
        <v>14.007504837813377</v>
      </c>
      <c r="I17" s="42">
        <f t="shared" si="3"/>
        <v>52.01277654334865</v>
      </c>
      <c r="J17" s="30">
        <f t="shared" si="5"/>
        <v>310</v>
      </c>
      <c r="K17" s="195"/>
      <c r="L17" s="27">
        <f t="shared" si="4"/>
        <v>362.01277654334865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2613977</v>
      </c>
      <c r="E18" s="1">
        <v>2627719</v>
      </c>
      <c r="F18" s="41">
        <f t="shared" si="0"/>
        <v>13.742000000000001</v>
      </c>
      <c r="G18" s="22">
        <f t="shared" si="1"/>
        <v>53.86987558302895</v>
      </c>
      <c r="H18" s="45">
        <f t="shared" si="2"/>
        <v>14.007504837813377</v>
      </c>
      <c r="I18" s="42">
        <f t="shared" si="3"/>
        <v>67.877380420842329</v>
      </c>
      <c r="J18" s="30">
        <f t="shared" si="5"/>
        <v>310</v>
      </c>
      <c r="K18" s="195"/>
      <c r="L18" s="27">
        <f t="shared" si="4"/>
        <v>377.87738042084231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3803279</v>
      </c>
      <c r="E19" s="1">
        <v>3823519</v>
      </c>
      <c r="F19" s="41">
        <f t="shared" si="0"/>
        <v>20.240000000000002</v>
      </c>
      <c r="G19" s="22">
        <f t="shared" si="1"/>
        <v>79.342619837032885</v>
      </c>
      <c r="H19" s="45">
        <f t="shared" si="2"/>
        <v>14.007504837813377</v>
      </c>
      <c r="I19" s="42">
        <f t="shared" si="3"/>
        <v>93.350124674846256</v>
      </c>
      <c r="J19" s="30">
        <f t="shared" si="5"/>
        <v>310</v>
      </c>
      <c r="K19" s="195"/>
      <c r="L19" s="27">
        <f t="shared" si="4"/>
        <v>403.35012467484626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5666189</v>
      </c>
      <c r="E20" s="1">
        <v>5706547</v>
      </c>
      <c r="F20" s="41">
        <f t="shared" si="0"/>
        <v>40.358000000000004</v>
      </c>
      <c r="G20" s="22">
        <f t="shared" si="1"/>
        <v>158.20698870469235</v>
      </c>
      <c r="H20" s="45">
        <f t="shared" si="2"/>
        <v>14.007504837813377</v>
      </c>
      <c r="I20" s="42">
        <f t="shared" si="3"/>
        <v>172.21449354250572</v>
      </c>
      <c r="J20" s="30">
        <f t="shared" si="5"/>
        <v>310</v>
      </c>
      <c r="K20" s="195"/>
      <c r="L20" s="27">
        <f t="shared" si="4"/>
        <v>482.21449354250569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1881634</v>
      </c>
      <c r="E21" s="1">
        <v>1904085</v>
      </c>
      <c r="F21" s="41">
        <f t="shared" si="0"/>
        <v>22.451000000000001</v>
      </c>
      <c r="G21" s="22">
        <f t="shared" si="1"/>
        <v>88.009938634447892</v>
      </c>
      <c r="H21" s="45">
        <f t="shared" si="2"/>
        <v>14.007504837813377</v>
      </c>
      <c r="I21" s="42">
        <f t="shared" si="3"/>
        <v>102.01744347226126</v>
      </c>
      <c r="J21" s="30">
        <f t="shared" si="5"/>
        <v>310</v>
      </c>
      <c r="K21" s="195"/>
      <c r="L21" s="27">
        <f t="shared" si="4"/>
        <v>412.01744347226128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286727</v>
      </c>
      <c r="E22" s="1">
        <v>290006</v>
      </c>
      <c r="F22" s="41">
        <f t="shared" si="0"/>
        <v>3.2789999999999999</v>
      </c>
      <c r="G22" s="22">
        <f t="shared" si="1"/>
        <v>12.853974824388875</v>
      </c>
      <c r="H22" s="45">
        <f t="shared" si="2"/>
        <v>14.007504837813377</v>
      </c>
      <c r="I22" s="42">
        <f t="shared" si="3"/>
        <v>26.86147966220225</v>
      </c>
      <c r="J22" s="30">
        <f t="shared" si="5"/>
        <v>310</v>
      </c>
      <c r="K22" s="195"/>
      <c r="L22" s="27">
        <f t="shared" si="4"/>
        <v>336.86147966220227</v>
      </c>
    </row>
    <row r="23" spans="1:12" ht="15" customHeight="1" x14ac:dyDescent="0.45">
      <c r="A23" s="314"/>
      <c r="B23" s="5" t="s">
        <v>4</v>
      </c>
      <c r="C23" s="2">
        <v>101</v>
      </c>
      <c r="D23" s="1">
        <v>81927</v>
      </c>
      <c r="E23" s="1">
        <v>82929</v>
      </c>
      <c r="F23" s="41">
        <f>(E23-D23)*0.01</f>
        <v>10.02</v>
      </c>
      <c r="G23" s="22">
        <f t="shared" si="1"/>
        <v>39.27930092722675</v>
      </c>
      <c r="H23" s="45">
        <f t="shared" si="2"/>
        <v>14.007504837813377</v>
      </c>
      <c r="I23" s="42">
        <f t="shared" si="3"/>
        <v>53.286805765040128</v>
      </c>
      <c r="J23" s="30">
        <f t="shared" si="5"/>
        <v>310</v>
      </c>
      <c r="K23" s="195"/>
      <c r="L23" s="27">
        <f t="shared" si="4"/>
        <v>363.28680576504013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3422215</v>
      </c>
      <c r="E24" s="1">
        <v>3444001</v>
      </c>
      <c r="F24" s="41">
        <f t="shared" ref="F24:F32" si="6">(E24-D24)*$N$1</f>
        <v>21.786000000000001</v>
      </c>
      <c r="G24" s="22">
        <f t="shared" si="1"/>
        <v>85.403078842371471</v>
      </c>
      <c r="H24" s="45">
        <f t="shared" si="2"/>
        <v>14.007504837813377</v>
      </c>
      <c r="I24" s="42">
        <f t="shared" si="3"/>
        <v>99.410583680184843</v>
      </c>
      <c r="J24" s="30">
        <f t="shared" si="5"/>
        <v>310</v>
      </c>
      <c r="K24" s="195">
        <v>10</v>
      </c>
      <c r="L24" s="27">
        <f t="shared" si="4"/>
        <v>419.41058368018486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3429576</v>
      </c>
      <c r="E25" s="1">
        <v>3445391</v>
      </c>
      <c r="F25" s="41">
        <f t="shared" si="6"/>
        <v>15.815</v>
      </c>
      <c r="G25" s="22">
        <f t="shared" si="1"/>
        <v>61.996221972464177</v>
      </c>
      <c r="H25" s="45">
        <f t="shared" si="2"/>
        <v>14.007504837813377</v>
      </c>
      <c r="I25" s="42">
        <f t="shared" si="3"/>
        <v>76.003726810277556</v>
      </c>
      <c r="J25" s="30">
        <f t="shared" si="5"/>
        <v>310</v>
      </c>
      <c r="K25" s="195"/>
      <c r="L25" s="27">
        <f t="shared" si="4"/>
        <v>386.00372681027756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5247887</v>
      </c>
      <c r="E26" s="1">
        <v>5262539</v>
      </c>
      <c r="F26" s="41">
        <f t="shared" si="6"/>
        <v>14.652000000000001</v>
      </c>
      <c r="G26" s="22">
        <f t="shared" si="1"/>
        <v>57.437157403765113</v>
      </c>
      <c r="H26" s="45">
        <f t="shared" si="2"/>
        <v>14.007504837813377</v>
      </c>
      <c r="I26" s="42">
        <f t="shared" si="3"/>
        <v>71.444662241578484</v>
      </c>
      <c r="J26" s="30">
        <f t="shared" si="5"/>
        <v>310</v>
      </c>
      <c r="K26" s="195"/>
      <c r="L26" s="27">
        <f t="shared" si="4"/>
        <v>381.4446622415785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2709117</v>
      </c>
      <c r="E27" s="1">
        <v>2735874</v>
      </c>
      <c r="F27" s="41">
        <f t="shared" si="6"/>
        <v>26.757000000000001</v>
      </c>
      <c r="G27" s="22">
        <f t="shared" si="1"/>
        <v>104.88984579938186</v>
      </c>
      <c r="H27" s="45">
        <f t="shared" si="2"/>
        <v>14.007504837813377</v>
      </c>
      <c r="I27" s="42">
        <f t="shared" si="3"/>
        <v>118.89735063719523</v>
      </c>
      <c r="J27" s="30">
        <f t="shared" si="5"/>
        <v>310</v>
      </c>
      <c r="K27" s="195"/>
      <c r="L27" s="27">
        <f t="shared" si="4"/>
        <v>428.89735063719525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2543939</v>
      </c>
      <c r="E28" s="1">
        <v>2554061</v>
      </c>
      <c r="F28" s="41">
        <f t="shared" si="6"/>
        <v>10.122</v>
      </c>
      <c r="G28" s="22">
        <f t="shared" si="1"/>
        <v>39.679150098342234</v>
      </c>
      <c r="H28" s="45">
        <f t="shared" si="2"/>
        <v>14.007504837813377</v>
      </c>
      <c r="I28" s="42">
        <f t="shared" si="3"/>
        <v>53.686654936155612</v>
      </c>
      <c r="J28" s="30">
        <f t="shared" si="5"/>
        <v>310</v>
      </c>
      <c r="K28" s="195"/>
      <c r="L28" s="27">
        <f t="shared" si="4"/>
        <v>363.68665493615561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2422631</v>
      </c>
      <c r="E29" s="1">
        <v>2433396</v>
      </c>
      <c r="F29" s="41">
        <f t="shared" si="6"/>
        <v>10.765000000000001</v>
      </c>
      <c r="G29" s="22">
        <f t="shared" si="1"/>
        <v>42.199767912334934</v>
      </c>
      <c r="H29" s="45">
        <f t="shared" si="2"/>
        <v>14.007504837813377</v>
      </c>
      <c r="I29" s="42">
        <f t="shared" si="3"/>
        <v>56.207272750148313</v>
      </c>
      <c r="J29" s="30">
        <f t="shared" si="5"/>
        <v>310</v>
      </c>
      <c r="K29" s="195"/>
      <c r="L29" s="27">
        <f t="shared" si="4"/>
        <v>366.20727275014832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2765171</v>
      </c>
      <c r="E30" s="1">
        <v>2779209</v>
      </c>
      <c r="F30" s="41">
        <f t="shared" si="6"/>
        <v>14.038</v>
      </c>
      <c r="G30" s="22">
        <f t="shared" si="1"/>
        <v>55.030222197246424</v>
      </c>
      <c r="H30" s="45">
        <f t="shared" si="2"/>
        <v>14.007504837813377</v>
      </c>
      <c r="I30" s="42">
        <f t="shared" si="3"/>
        <v>69.037727035059802</v>
      </c>
      <c r="J30" s="30">
        <f t="shared" si="5"/>
        <v>310</v>
      </c>
      <c r="K30" s="195"/>
      <c r="L30" s="27">
        <f t="shared" si="4"/>
        <v>379.03772703505979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4203849</v>
      </c>
      <c r="E31" s="1">
        <v>4213254</v>
      </c>
      <c r="F31" s="41">
        <f t="shared" si="6"/>
        <v>9.4049999999999994</v>
      </c>
      <c r="G31" s="22">
        <f t="shared" si="1"/>
        <v>36.868445630795172</v>
      </c>
      <c r="H31" s="45">
        <f t="shared" si="2"/>
        <v>14.007504837813377</v>
      </c>
      <c r="I31" s="42">
        <f t="shared" si="3"/>
        <v>50.875950468608551</v>
      </c>
      <c r="J31" s="30">
        <f t="shared" si="5"/>
        <v>310</v>
      </c>
      <c r="K31" s="195"/>
      <c r="L31" s="27">
        <f t="shared" si="4"/>
        <v>360.87595046860855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2527071</v>
      </c>
      <c r="E32" s="1">
        <v>2539259</v>
      </c>
      <c r="F32" s="41">
        <f t="shared" si="6"/>
        <v>12.188000000000001</v>
      </c>
      <c r="G32" s="22">
        <f t="shared" si="1"/>
        <v>47.778055858387198</v>
      </c>
      <c r="H32" s="45">
        <f t="shared" si="2"/>
        <v>14.007504837813377</v>
      </c>
      <c r="I32" s="42">
        <f t="shared" si="3"/>
        <v>61.785560696200577</v>
      </c>
      <c r="J32" s="30">
        <f t="shared" si="5"/>
        <v>310</v>
      </c>
      <c r="K32" s="195"/>
      <c r="L32" s="27">
        <f t="shared" si="4"/>
        <v>371.7855606962006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113511</v>
      </c>
      <c r="E33" s="1">
        <v>114706</v>
      </c>
      <c r="F33" s="41">
        <f>(E33-D33)*0.01</f>
        <v>11.950000000000001</v>
      </c>
      <c r="G33" s="22">
        <f t="shared" si="1"/>
        <v>46.84507445911774</v>
      </c>
      <c r="H33" s="45">
        <f t="shared" si="2"/>
        <v>14.007504837813377</v>
      </c>
      <c r="I33" s="42">
        <f t="shared" si="3"/>
        <v>60.852579296931118</v>
      </c>
      <c r="J33" s="30">
        <f t="shared" si="5"/>
        <v>310</v>
      </c>
      <c r="K33" s="195"/>
      <c r="L33" s="27">
        <f t="shared" si="4"/>
        <v>370.85257929693114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3376259</v>
      </c>
      <c r="E34" s="1">
        <v>3402418</v>
      </c>
      <c r="F34" s="41">
        <f t="shared" ref="F34:F42" si="7">(E34-D34)*$N$1</f>
        <v>26.158999999999999</v>
      </c>
      <c r="G34" s="22">
        <f t="shared" si="1"/>
        <v>102.54563203146952</v>
      </c>
      <c r="H34" s="45">
        <f t="shared" si="2"/>
        <v>14.007504837813377</v>
      </c>
      <c r="I34" s="42">
        <f t="shared" si="3"/>
        <v>116.55313686928289</v>
      </c>
      <c r="J34" s="30">
        <f t="shared" si="5"/>
        <v>310</v>
      </c>
      <c r="K34" s="195"/>
      <c r="L34" s="27">
        <f t="shared" si="4"/>
        <v>426.55313686928287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3268397</v>
      </c>
      <c r="E35" s="1">
        <v>3279721</v>
      </c>
      <c r="F35" s="41">
        <f t="shared" si="7"/>
        <v>11.324</v>
      </c>
      <c r="G35" s="22">
        <f t="shared" si="1"/>
        <v>44.391098173644288</v>
      </c>
      <c r="H35" s="45">
        <f t="shared" si="2"/>
        <v>14.007504837813377</v>
      </c>
      <c r="I35" s="42">
        <f t="shared" si="3"/>
        <v>58.398603011457666</v>
      </c>
      <c r="J35" s="30">
        <f t="shared" si="5"/>
        <v>310</v>
      </c>
      <c r="K35" s="195"/>
      <c r="L35" s="27">
        <f t="shared" si="4"/>
        <v>368.39860301145768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1299006</v>
      </c>
      <c r="E36" s="1">
        <v>1309547</v>
      </c>
      <c r="F36" s="41">
        <f t="shared" si="7"/>
        <v>10.541</v>
      </c>
      <c r="G36" s="22">
        <f t="shared" si="1"/>
        <v>41.32166777184603</v>
      </c>
      <c r="H36" s="45">
        <f t="shared" si="2"/>
        <v>14.007504837813377</v>
      </c>
      <c r="I36" s="42">
        <f t="shared" si="3"/>
        <v>55.329172609659409</v>
      </c>
      <c r="J36" s="30">
        <f t="shared" si="5"/>
        <v>310</v>
      </c>
      <c r="K36" s="195"/>
      <c r="L36" s="27">
        <f t="shared" si="4"/>
        <v>365.32917260965939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13726</v>
      </c>
      <c r="E37" s="1">
        <v>14008</v>
      </c>
      <c r="F37" s="41">
        <f t="shared" si="7"/>
        <v>0.28200000000000003</v>
      </c>
      <c r="G37" s="22">
        <f t="shared" si="1"/>
        <v>1.1054653554369207</v>
      </c>
      <c r="H37" s="45">
        <f t="shared" si="2"/>
        <v>14.007504837813377</v>
      </c>
      <c r="I37" s="42">
        <f t="shared" si="3"/>
        <v>15.112970193250298</v>
      </c>
      <c r="J37" s="30">
        <f t="shared" si="5"/>
        <v>310</v>
      </c>
      <c r="K37" s="195"/>
      <c r="L37" s="27">
        <f t="shared" si="4"/>
        <v>325.11297019325031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3794948</v>
      </c>
      <c r="E38" s="1">
        <v>3822839</v>
      </c>
      <c r="F38" s="41">
        <f t="shared" si="7"/>
        <v>27.891000000000002</v>
      </c>
      <c r="G38" s="22">
        <f t="shared" si="1"/>
        <v>109.33522776060693</v>
      </c>
      <c r="H38" s="45">
        <f t="shared" si="2"/>
        <v>14.007504837813377</v>
      </c>
      <c r="I38" s="42">
        <f t="shared" si="3"/>
        <v>123.3427325984203</v>
      </c>
      <c r="J38" s="30">
        <f t="shared" si="5"/>
        <v>310</v>
      </c>
      <c r="K38" s="195"/>
      <c r="L38" s="27">
        <f t="shared" si="4"/>
        <v>433.3427325984203</v>
      </c>
    </row>
    <row r="39" spans="1:12" ht="15" customHeight="1" x14ac:dyDescent="0.45">
      <c r="A39" s="314"/>
      <c r="B39" s="5" t="s">
        <v>4</v>
      </c>
      <c r="C39" s="2">
        <v>501</v>
      </c>
      <c r="D39" s="1">
        <v>5003882</v>
      </c>
      <c r="E39" s="1">
        <v>5040850</v>
      </c>
      <c r="F39" s="41">
        <f t="shared" si="7"/>
        <v>36.968000000000004</v>
      </c>
      <c r="G39" s="22">
        <f t="shared" si="1"/>
        <v>144.91788389997194</v>
      </c>
      <c r="H39" s="45">
        <f t="shared" si="2"/>
        <v>14.007504837813377</v>
      </c>
      <c r="I39" s="42">
        <f t="shared" si="3"/>
        <v>158.92538873778531</v>
      </c>
      <c r="J39" s="30">
        <f t="shared" si="5"/>
        <v>310</v>
      </c>
      <c r="K39" s="195"/>
      <c r="L39" s="27">
        <f t="shared" si="4"/>
        <v>468.92538873778528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6629632</v>
      </c>
      <c r="E40" s="1">
        <v>6649380</v>
      </c>
      <c r="F40" s="41">
        <f t="shared" si="7"/>
        <v>19.748000000000001</v>
      </c>
      <c r="G40" s="22">
        <f t="shared" si="1"/>
        <v>77.413935599887623</v>
      </c>
      <c r="H40" s="45">
        <f t="shared" si="2"/>
        <v>14.007504837813377</v>
      </c>
      <c r="I40" s="42">
        <f t="shared" si="3"/>
        <v>91.421440437700994</v>
      </c>
      <c r="J40" s="30">
        <f t="shared" si="5"/>
        <v>310</v>
      </c>
      <c r="K40" s="195"/>
      <c r="L40" s="27">
        <f t="shared" si="4"/>
        <v>401.42144043770099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3709496</v>
      </c>
      <c r="E41" s="1">
        <v>3730940</v>
      </c>
      <c r="F41" s="41">
        <f t="shared" si="7"/>
        <v>21.443999999999999</v>
      </c>
      <c r="G41" s="22">
        <f t="shared" si="1"/>
        <v>84.062408092160723</v>
      </c>
      <c r="H41" s="45">
        <f t="shared" si="2"/>
        <v>14.007504837813377</v>
      </c>
      <c r="I41" s="42">
        <f t="shared" si="3"/>
        <v>98.069912929974095</v>
      </c>
      <c r="J41" s="30">
        <f t="shared" si="5"/>
        <v>310</v>
      </c>
      <c r="K41" s="195"/>
      <c r="L41" s="27">
        <f t="shared" si="4"/>
        <v>408.06991292997407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2953108</v>
      </c>
      <c r="E42" s="1">
        <v>2959084</v>
      </c>
      <c r="F42" s="41">
        <f t="shared" si="7"/>
        <v>5.976</v>
      </c>
      <c r="G42" s="22">
        <f t="shared" si="1"/>
        <v>23.426457319471766</v>
      </c>
      <c r="H42" s="45">
        <f t="shared" si="2"/>
        <v>14.007504837813377</v>
      </c>
      <c r="I42" s="42">
        <f t="shared" si="3"/>
        <v>37.433962157285144</v>
      </c>
      <c r="J42" s="30">
        <f t="shared" si="5"/>
        <v>310</v>
      </c>
      <c r="K42" s="195"/>
      <c r="L42" s="27">
        <f t="shared" si="4"/>
        <v>347.43396215728512</v>
      </c>
    </row>
    <row r="43" spans="1:12" ht="15" customHeight="1" x14ac:dyDescent="0.45">
      <c r="A43" s="318"/>
      <c r="B43" s="5" t="s">
        <v>5</v>
      </c>
      <c r="C43" s="2">
        <v>101</v>
      </c>
      <c r="D43" s="1">
        <v>28923</v>
      </c>
      <c r="E43" s="1">
        <v>29502</v>
      </c>
      <c r="F43" s="41">
        <f>(E43-D43)*0.01</f>
        <v>5.79</v>
      </c>
      <c r="G43" s="22">
        <f t="shared" si="1"/>
        <v>22.697320595672945</v>
      </c>
      <c r="H43" s="45">
        <f t="shared" si="2"/>
        <v>14.007504837813377</v>
      </c>
      <c r="I43" s="42">
        <f t="shared" si="3"/>
        <v>36.70482543348632</v>
      </c>
      <c r="J43" s="30">
        <f t="shared" si="5"/>
        <v>310</v>
      </c>
      <c r="K43" s="195"/>
      <c r="L43" s="27">
        <f t="shared" si="4"/>
        <v>346.70482543348635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2906666</v>
      </c>
      <c r="E44" s="1">
        <v>2927729</v>
      </c>
      <c r="F44" s="41">
        <f t="shared" ref="F44:F56" si="8">(E44-D44)*$N$1</f>
        <v>21.062999999999999</v>
      </c>
      <c r="G44" s="22">
        <f t="shared" si="1"/>
        <v>82.568853835347014</v>
      </c>
      <c r="H44" s="45">
        <f t="shared" si="2"/>
        <v>14.007504837813377</v>
      </c>
      <c r="I44" s="42">
        <f t="shared" si="3"/>
        <v>96.576358673160385</v>
      </c>
      <c r="J44" s="30">
        <f t="shared" si="5"/>
        <v>310</v>
      </c>
      <c r="K44" s="195"/>
      <c r="L44" s="27">
        <f t="shared" si="4"/>
        <v>406.57635867316037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986841</v>
      </c>
      <c r="E45" s="1">
        <v>986841</v>
      </c>
      <c r="F45" s="41">
        <f t="shared" si="8"/>
        <v>0</v>
      </c>
      <c r="G45" s="22">
        <f t="shared" si="1"/>
        <v>0</v>
      </c>
      <c r="H45" s="45">
        <f t="shared" si="2"/>
        <v>14.007504837813377</v>
      </c>
      <c r="I45" s="42">
        <f t="shared" si="3"/>
        <v>14.007504837813377</v>
      </c>
      <c r="J45" s="30">
        <f t="shared" si="5"/>
        <v>310</v>
      </c>
      <c r="K45" s="195"/>
      <c r="L45" s="27">
        <f t="shared" si="4"/>
        <v>324.00750483781337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4198463</v>
      </c>
      <c r="E46" s="1">
        <v>4215653</v>
      </c>
      <c r="F46" s="41">
        <f t="shared" si="8"/>
        <v>17.190000000000001</v>
      </c>
      <c r="G46" s="22">
        <f t="shared" si="1"/>
        <v>67.386345602697403</v>
      </c>
      <c r="H46" s="45">
        <f t="shared" si="2"/>
        <v>14.007504837813377</v>
      </c>
      <c r="I46" s="42">
        <f t="shared" si="3"/>
        <v>81.393850440510775</v>
      </c>
      <c r="J46" s="30">
        <f t="shared" si="5"/>
        <v>310</v>
      </c>
      <c r="K46" s="195"/>
      <c r="L46" s="27">
        <f t="shared" si="4"/>
        <v>391.39385044051079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3960286</v>
      </c>
      <c r="E47" s="1">
        <v>3980328</v>
      </c>
      <c r="F47" s="41">
        <f t="shared" si="8"/>
        <v>20.042000000000002</v>
      </c>
      <c r="G47" s="22">
        <f t="shared" si="1"/>
        <v>78.566442034279305</v>
      </c>
      <c r="H47" s="45">
        <f t="shared" si="2"/>
        <v>14.007504837813377</v>
      </c>
      <c r="I47" s="42">
        <f t="shared" si="3"/>
        <v>92.573946872092677</v>
      </c>
      <c r="J47" s="30">
        <f t="shared" si="5"/>
        <v>310</v>
      </c>
      <c r="K47" s="195"/>
      <c r="L47" s="27">
        <f t="shared" si="4"/>
        <v>402.57394687209268</v>
      </c>
    </row>
    <row r="48" spans="1:12" ht="15" customHeight="1" x14ac:dyDescent="0.45">
      <c r="A48" s="318"/>
      <c r="B48" s="5" t="s">
        <v>5</v>
      </c>
      <c r="C48" s="2">
        <v>202</v>
      </c>
      <c r="D48" s="1">
        <v>2991967</v>
      </c>
      <c r="E48" s="1">
        <v>3021209</v>
      </c>
      <c r="F48" s="41">
        <f t="shared" si="8"/>
        <v>29.242000000000001</v>
      </c>
      <c r="G48" s="22">
        <f t="shared" si="1"/>
        <v>114.63126923293062</v>
      </c>
      <c r="H48" s="45">
        <f t="shared" si="2"/>
        <v>14.007504837813377</v>
      </c>
      <c r="I48" s="42">
        <f t="shared" si="3"/>
        <v>128.63877407074401</v>
      </c>
      <c r="J48" s="30">
        <f t="shared" si="5"/>
        <v>310</v>
      </c>
      <c r="K48" s="195">
        <v>10</v>
      </c>
      <c r="L48" s="27">
        <f t="shared" si="4"/>
        <v>448.63877407074403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2378149</v>
      </c>
      <c r="E49" s="1">
        <v>2392245</v>
      </c>
      <c r="F49" s="41">
        <f t="shared" si="8"/>
        <v>14.096</v>
      </c>
      <c r="G49" s="22">
        <f t="shared" si="1"/>
        <v>55.257587412194447</v>
      </c>
      <c r="H49" s="45">
        <f t="shared" si="2"/>
        <v>14.007504837813377</v>
      </c>
      <c r="I49" s="42">
        <f t="shared" si="3"/>
        <v>69.265092250007825</v>
      </c>
      <c r="J49" s="30">
        <f t="shared" si="5"/>
        <v>310</v>
      </c>
      <c r="K49" s="195"/>
      <c r="L49" s="27">
        <f t="shared" si="4"/>
        <v>379.2650922500078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2287190</v>
      </c>
      <c r="E50" s="1">
        <v>2297702</v>
      </c>
      <c r="F50" s="41">
        <f t="shared" si="8"/>
        <v>10.512</v>
      </c>
      <c r="G50" s="22">
        <f t="shared" si="1"/>
        <v>41.207985164372019</v>
      </c>
      <c r="H50" s="45">
        <f t="shared" si="2"/>
        <v>14.007504837813377</v>
      </c>
      <c r="I50" s="42">
        <f t="shared" si="3"/>
        <v>55.215490002185398</v>
      </c>
      <c r="J50" s="30">
        <f t="shared" si="5"/>
        <v>310</v>
      </c>
      <c r="K50" s="195"/>
      <c r="L50" s="27">
        <f t="shared" si="4"/>
        <v>365.21549000218539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2707251</v>
      </c>
      <c r="E51" s="1">
        <v>2716424</v>
      </c>
      <c r="F51" s="41">
        <f t="shared" si="8"/>
        <v>9.173</v>
      </c>
      <c r="G51" s="22">
        <f t="shared" si="1"/>
        <v>35.958984771003095</v>
      </c>
      <c r="H51" s="45">
        <f t="shared" si="2"/>
        <v>14.007504837813377</v>
      </c>
      <c r="I51" s="42">
        <f t="shared" si="3"/>
        <v>49.966489608816474</v>
      </c>
      <c r="J51" s="30">
        <f t="shared" si="5"/>
        <v>310</v>
      </c>
      <c r="K51" s="195"/>
      <c r="L51" s="27">
        <f t="shared" si="4"/>
        <v>359.96648960881646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4071896</v>
      </c>
      <c r="E52" s="1">
        <v>4087143</v>
      </c>
      <c r="F52" s="41">
        <f t="shared" si="8"/>
        <v>15.247</v>
      </c>
      <c r="G52" s="22">
        <f t="shared" si="1"/>
        <v>59.769610901938755</v>
      </c>
      <c r="H52" s="45">
        <f t="shared" si="2"/>
        <v>14.007504837813377</v>
      </c>
      <c r="I52" s="42">
        <f t="shared" si="3"/>
        <v>73.777115739752134</v>
      </c>
      <c r="J52" s="30">
        <f t="shared" si="5"/>
        <v>310</v>
      </c>
      <c r="K52" s="195"/>
      <c r="L52" s="27">
        <f t="shared" si="4"/>
        <v>383.77711573975216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3676149</v>
      </c>
      <c r="E53" s="1">
        <v>3691205</v>
      </c>
      <c r="F53" s="41">
        <f t="shared" si="8"/>
        <v>15.056000000000001</v>
      </c>
      <c r="G53" s="22">
        <f t="shared" si="1"/>
        <v>59.020873728575452</v>
      </c>
      <c r="H53" s="45">
        <f t="shared" si="2"/>
        <v>14.007504837813377</v>
      </c>
      <c r="I53" s="42">
        <f t="shared" si="3"/>
        <v>73.028378566388824</v>
      </c>
      <c r="J53" s="30">
        <f t="shared" si="5"/>
        <v>310</v>
      </c>
      <c r="K53" s="195"/>
      <c r="L53" s="27">
        <f t="shared" si="4"/>
        <v>383.02837856638882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2917702</v>
      </c>
      <c r="E54" s="1">
        <v>2928482</v>
      </c>
      <c r="F54" s="41">
        <f t="shared" si="8"/>
        <v>10.78</v>
      </c>
      <c r="G54" s="22">
        <f t="shared" si="1"/>
        <v>42.258569261028384</v>
      </c>
      <c r="H54" s="45">
        <f t="shared" si="2"/>
        <v>14.007504837813377</v>
      </c>
      <c r="I54" s="42">
        <f t="shared" si="3"/>
        <v>56.266074098841763</v>
      </c>
      <c r="J54" s="30">
        <f t="shared" si="5"/>
        <v>310</v>
      </c>
      <c r="K54" s="195"/>
      <c r="L54" s="27">
        <f t="shared" si="4"/>
        <v>366.26607409884178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3029471</v>
      </c>
      <c r="E55" s="1">
        <v>3035669</v>
      </c>
      <c r="F55" s="41">
        <f t="shared" si="8"/>
        <v>6.1980000000000004</v>
      </c>
      <c r="G55" s="22">
        <f t="shared" si="1"/>
        <v>24.296717280134875</v>
      </c>
      <c r="H55" s="45">
        <f t="shared" si="2"/>
        <v>14.007504837813377</v>
      </c>
      <c r="I55" s="42">
        <f t="shared" si="3"/>
        <v>38.30422211794825</v>
      </c>
      <c r="J55" s="30">
        <f t="shared" si="5"/>
        <v>310</v>
      </c>
      <c r="K55" s="195"/>
      <c r="L55" s="27">
        <f t="shared" si="4"/>
        <v>348.30422211794826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1320971</v>
      </c>
      <c r="E56" s="1">
        <v>1323913</v>
      </c>
      <c r="F56" s="41">
        <f t="shared" si="8"/>
        <v>2.9420000000000002</v>
      </c>
      <c r="G56" s="22">
        <f t="shared" si="1"/>
        <v>11.532904523742626</v>
      </c>
      <c r="H56" s="45">
        <f t="shared" si="2"/>
        <v>14.007504837813377</v>
      </c>
      <c r="I56" s="42">
        <f t="shared" si="3"/>
        <v>25.540409361556001</v>
      </c>
      <c r="J56" s="30">
        <f t="shared" si="5"/>
        <v>310</v>
      </c>
      <c r="K56" s="195"/>
      <c r="L56" s="27">
        <f t="shared" si="4"/>
        <v>335.54040936155599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163438</v>
      </c>
      <c r="E57" s="1">
        <v>164684</v>
      </c>
      <c r="F57" s="41">
        <f>(E57-D57)*0.01</f>
        <v>12.46</v>
      </c>
      <c r="G57" s="22">
        <f t="shared" si="1"/>
        <v>48.844320314695146</v>
      </c>
      <c r="H57" s="45">
        <f t="shared" si="2"/>
        <v>14.007504837813377</v>
      </c>
      <c r="I57" s="42">
        <f t="shared" si="3"/>
        <v>62.851825152508525</v>
      </c>
      <c r="J57" s="30">
        <f t="shared" si="5"/>
        <v>310</v>
      </c>
      <c r="K57" s="195"/>
      <c r="L57" s="27">
        <f t="shared" si="4"/>
        <v>372.85182515250852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1960473</v>
      </c>
      <c r="E58" s="1">
        <v>1971806</v>
      </c>
      <c r="F58" s="41">
        <f t="shared" ref="F58:F87" si="9">(E58-D58)*$N$1</f>
        <v>11.333</v>
      </c>
      <c r="G58" s="22">
        <f t="shared" si="1"/>
        <v>44.426378982860356</v>
      </c>
      <c r="H58" s="45">
        <f t="shared" si="2"/>
        <v>14.007504837813377</v>
      </c>
      <c r="I58" s="42">
        <f t="shared" si="3"/>
        <v>58.433883820673735</v>
      </c>
      <c r="J58" s="30">
        <f t="shared" si="5"/>
        <v>310</v>
      </c>
      <c r="K58" s="195"/>
      <c r="L58" s="27">
        <f t="shared" si="4"/>
        <v>368.43388382067371</v>
      </c>
    </row>
    <row r="59" spans="1:12" ht="15" customHeight="1" x14ac:dyDescent="0.45">
      <c r="A59" s="318"/>
      <c r="B59" s="5" t="s">
        <v>5</v>
      </c>
      <c r="C59" s="2">
        <v>501</v>
      </c>
      <c r="D59" s="1">
        <v>2933013</v>
      </c>
      <c r="E59" s="1">
        <v>2976909</v>
      </c>
      <c r="F59" s="41">
        <f t="shared" si="9"/>
        <v>43.896000000000001</v>
      </c>
      <c r="G59" s="22">
        <f t="shared" si="1"/>
        <v>172.07626681652152</v>
      </c>
      <c r="H59" s="45">
        <f t="shared" si="2"/>
        <v>14.007504837813377</v>
      </c>
      <c r="I59" s="42">
        <f t="shared" si="3"/>
        <v>186.0837716543349</v>
      </c>
      <c r="J59" s="30">
        <f t="shared" si="5"/>
        <v>310</v>
      </c>
      <c r="K59" s="195"/>
      <c r="L59" s="27">
        <f t="shared" si="4"/>
        <v>496.0837716543349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3469183</v>
      </c>
      <c r="E60" s="1">
        <v>3481793</v>
      </c>
      <c r="F60" s="41">
        <f t="shared" si="9"/>
        <v>12.61</v>
      </c>
      <c r="G60" s="22">
        <f t="shared" si="1"/>
        <v>49.432333801629674</v>
      </c>
      <c r="H60" s="45">
        <f t="shared" si="2"/>
        <v>14.007504837813377</v>
      </c>
      <c r="I60" s="42">
        <f t="shared" si="3"/>
        <v>63.439838639443053</v>
      </c>
      <c r="J60" s="30">
        <f t="shared" si="5"/>
        <v>310</v>
      </c>
      <c r="K60" s="195"/>
      <c r="L60" s="27">
        <f t="shared" si="4"/>
        <v>373.43983863944305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4453856</v>
      </c>
      <c r="E61" s="1">
        <v>4484526</v>
      </c>
      <c r="F61" s="41">
        <f t="shared" si="9"/>
        <v>30.67</v>
      </c>
      <c r="G61" s="22">
        <f t="shared" si="1"/>
        <v>120.22915762854737</v>
      </c>
      <c r="H61" s="45">
        <f t="shared" si="2"/>
        <v>14.007504837813377</v>
      </c>
      <c r="I61" s="42">
        <f t="shared" si="3"/>
        <v>134.23666246636074</v>
      </c>
      <c r="J61" s="30">
        <f t="shared" si="5"/>
        <v>310</v>
      </c>
      <c r="K61" s="195"/>
      <c r="L61" s="27">
        <f t="shared" si="4"/>
        <v>444.23666246636071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2121974</v>
      </c>
      <c r="E62" s="1">
        <v>2140316</v>
      </c>
      <c r="F62" s="41">
        <f t="shared" si="9"/>
        <v>18.341999999999999</v>
      </c>
      <c r="G62" s="22">
        <f t="shared" si="1"/>
        <v>71.902289182354593</v>
      </c>
      <c r="H62" s="45">
        <f t="shared" si="2"/>
        <v>14.007504837813377</v>
      </c>
      <c r="I62" s="42">
        <f t="shared" si="3"/>
        <v>85.909794020167965</v>
      </c>
      <c r="J62" s="30">
        <f t="shared" si="5"/>
        <v>310</v>
      </c>
      <c r="K62" s="195"/>
      <c r="L62" s="27">
        <f t="shared" si="4"/>
        <v>395.90979402016796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4865793</v>
      </c>
      <c r="E63" s="1">
        <v>4882948</v>
      </c>
      <c r="F63" s="41">
        <f t="shared" si="9"/>
        <v>17.155000000000001</v>
      </c>
      <c r="G63" s="22">
        <f t="shared" si="1"/>
        <v>67.249142455746011</v>
      </c>
      <c r="H63" s="45">
        <f t="shared" si="2"/>
        <v>14.007504837813377</v>
      </c>
      <c r="I63" s="42">
        <f t="shared" si="3"/>
        <v>81.256647293559382</v>
      </c>
      <c r="J63" s="30">
        <f t="shared" si="5"/>
        <v>310</v>
      </c>
      <c r="K63" s="195"/>
      <c r="L63" s="27">
        <f t="shared" si="4"/>
        <v>391.25664729355935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4673352</v>
      </c>
      <c r="E64" s="1">
        <v>4686017</v>
      </c>
      <c r="F64" s="41">
        <f t="shared" si="9"/>
        <v>12.665000000000001</v>
      </c>
      <c r="G64" s="22">
        <f>MMULT($G$1,1/$F$183)*F64</f>
        <v>49.64793874683901</v>
      </c>
      <c r="H64" s="45">
        <f t="shared" si="2"/>
        <v>14.007504837813377</v>
      </c>
      <c r="I64" s="42">
        <f t="shared" si="3"/>
        <v>63.655443584652389</v>
      </c>
      <c r="J64" s="30">
        <f t="shared" si="5"/>
        <v>310</v>
      </c>
      <c r="K64" s="195"/>
      <c r="L64" s="27">
        <f t="shared" si="4"/>
        <v>373.6554435846524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3386639</v>
      </c>
      <c r="E65" s="1">
        <v>3399616</v>
      </c>
      <c r="F65" s="41">
        <f t="shared" si="9"/>
        <v>12.977</v>
      </c>
      <c r="G65" s="22">
        <f t="shared" si="1"/>
        <v>50.871006799662837</v>
      </c>
      <c r="H65" s="45">
        <f t="shared" si="2"/>
        <v>14.007504837813377</v>
      </c>
      <c r="I65" s="42">
        <f t="shared" si="3"/>
        <v>64.878511637476208</v>
      </c>
      <c r="J65" s="30">
        <f t="shared" si="5"/>
        <v>310</v>
      </c>
      <c r="K65" s="195"/>
      <c r="L65" s="27">
        <f>SUM(I65,J65,K65)</f>
        <v>374.87851163747621</v>
      </c>
    </row>
    <row r="66" spans="1:12" ht="15" customHeight="1" x14ac:dyDescent="0.45">
      <c r="A66" s="314"/>
      <c r="B66" s="5" t="s">
        <v>6</v>
      </c>
      <c r="C66" s="2">
        <v>104</v>
      </c>
      <c r="D66" s="1">
        <v>110764</v>
      </c>
      <c r="E66" s="1">
        <v>132979</v>
      </c>
      <c r="F66" s="41">
        <f t="shared" si="9"/>
        <v>22.215</v>
      </c>
      <c r="G66" s="22">
        <f t="shared" si="1"/>
        <v>87.084797415004218</v>
      </c>
      <c r="H66" s="45">
        <f t="shared" si="2"/>
        <v>14.007504837813377</v>
      </c>
      <c r="I66" s="42">
        <f t="shared" si="3"/>
        <v>101.09230225281759</v>
      </c>
      <c r="J66" s="30">
        <f t="shared" si="5"/>
        <v>310</v>
      </c>
      <c r="K66" s="195"/>
      <c r="L66" s="27">
        <f t="shared" si="4"/>
        <v>411.0923022528176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4071743</v>
      </c>
      <c r="E67" s="1">
        <v>4080252</v>
      </c>
      <c r="F67" s="41">
        <f t="shared" si="9"/>
        <v>8.5090000000000003</v>
      </c>
      <c r="G67" s="22">
        <f t="shared" si="1"/>
        <v>33.356045068839563</v>
      </c>
      <c r="H67" s="45">
        <f t="shared" si="2"/>
        <v>14.007504837813377</v>
      </c>
      <c r="I67" s="42">
        <f t="shared" si="3"/>
        <v>47.363549906652942</v>
      </c>
      <c r="J67" s="30">
        <f t="shared" si="5"/>
        <v>310</v>
      </c>
      <c r="K67" s="195"/>
      <c r="L67" s="27">
        <f t="shared" si="4"/>
        <v>357.36354990665296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4236340</v>
      </c>
      <c r="E68" s="1">
        <v>4270195</v>
      </c>
      <c r="F68" s="41">
        <f t="shared" si="9"/>
        <v>33.855000000000004</v>
      </c>
      <c r="G68" s="22">
        <f t="shared" ref="G68:G127" si="10">MMULT($G$1,1/$F$183)*F68</f>
        <v>132.71464400112393</v>
      </c>
      <c r="H68" s="45">
        <f t="shared" ref="H68:H131" si="11">MMULT($H$1,1/180)</f>
        <v>14.007504837813377</v>
      </c>
      <c r="I68" s="42">
        <f t="shared" ref="I68:I131" si="12">SUM(G68,H68)</f>
        <v>146.7221488389373</v>
      </c>
      <c r="J68" s="30">
        <f t="shared" si="5"/>
        <v>310</v>
      </c>
      <c r="K68" s="195"/>
      <c r="L68" s="27">
        <f t="shared" ref="L68:L131" si="13">SUM(I68,J68,K68)</f>
        <v>456.7221488389373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2492698</v>
      </c>
      <c r="E69" s="1">
        <v>2495446</v>
      </c>
      <c r="F69" s="41">
        <f t="shared" si="9"/>
        <v>2.7480000000000002</v>
      </c>
      <c r="G69" s="22">
        <f t="shared" si="10"/>
        <v>10.772407080640631</v>
      </c>
      <c r="H69" s="45">
        <f t="shared" si="11"/>
        <v>14.007504837813377</v>
      </c>
      <c r="I69" s="42">
        <f t="shared" si="12"/>
        <v>24.779911918454008</v>
      </c>
      <c r="J69" s="30">
        <f t="shared" ref="J69:J132" si="14">SUM($J$3)</f>
        <v>310</v>
      </c>
      <c r="K69" s="195"/>
      <c r="L69" s="27">
        <f t="shared" si="13"/>
        <v>334.77991191845399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2425071</v>
      </c>
      <c r="E70" s="1">
        <v>2439154</v>
      </c>
      <c r="F70" s="41">
        <f t="shared" si="9"/>
        <v>14.083</v>
      </c>
      <c r="G70" s="22">
        <f t="shared" si="10"/>
        <v>55.206626243326781</v>
      </c>
      <c r="H70" s="45">
        <f t="shared" si="11"/>
        <v>14.007504837813377</v>
      </c>
      <c r="I70" s="42">
        <f t="shared" si="12"/>
        <v>69.214131081140152</v>
      </c>
      <c r="J70" s="30">
        <f t="shared" si="14"/>
        <v>310</v>
      </c>
      <c r="K70" s="195"/>
      <c r="L70" s="27">
        <f t="shared" si="13"/>
        <v>379.21413108114018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3895564</v>
      </c>
      <c r="E71" s="1">
        <v>3908364</v>
      </c>
      <c r="F71" s="41">
        <f t="shared" si="9"/>
        <v>12.8</v>
      </c>
      <c r="G71" s="22">
        <f t="shared" si="10"/>
        <v>50.177150885080088</v>
      </c>
      <c r="H71" s="45">
        <f t="shared" si="11"/>
        <v>14.007504837813377</v>
      </c>
      <c r="I71" s="42">
        <f t="shared" si="12"/>
        <v>64.184655722893467</v>
      </c>
      <c r="J71" s="30">
        <f t="shared" si="14"/>
        <v>310</v>
      </c>
      <c r="K71" s="195"/>
      <c r="L71" s="27">
        <f t="shared" si="13"/>
        <v>374.18465572289347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3117942</v>
      </c>
      <c r="E72" s="1">
        <v>3134228</v>
      </c>
      <c r="F72" s="41">
        <f t="shared" si="9"/>
        <v>16.286000000000001</v>
      </c>
      <c r="G72" s="22">
        <f t="shared" si="10"/>
        <v>63.842584321438622</v>
      </c>
      <c r="H72" s="45">
        <f t="shared" si="11"/>
        <v>14.007504837813377</v>
      </c>
      <c r="I72" s="42">
        <f t="shared" si="12"/>
        <v>77.850089159251993</v>
      </c>
      <c r="J72" s="30">
        <f t="shared" si="14"/>
        <v>310</v>
      </c>
      <c r="K72" s="195"/>
      <c r="L72" s="27">
        <f t="shared" si="13"/>
        <v>387.85008915925198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3480749</v>
      </c>
      <c r="E73" s="1">
        <v>3490891</v>
      </c>
      <c r="F73" s="41">
        <f t="shared" si="9"/>
        <v>10.141999999999999</v>
      </c>
      <c r="G73" s="22">
        <f t="shared" si="10"/>
        <v>39.75755189660017</v>
      </c>
      <c r="H73" s="45">
        <f t="shared" si="11"/>
        <v>14.007504837813377</v>
      </c>
      <c r="I73" s="42">
        <f t="shared" si="12"/>
        <v>53.765056734413548</v>
      </c>
      <c r="J73" s="30">
        <f t="shared" si="14"/>
        <v>310</v>
      </c>
      <c r="K73" s="195"/>
      <c r="L73" s="27">
        <f t="shared" si="13"/>
        <v>363.76505673441352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1471934</v>
      </c>
      <c r="E74" s="1">
        <v>1485154</v>
      </c>
      <c r="F74" s="41">
        <f t="shared" si="9"/>
        <v>13.22</v>
      </c>
      <c r="G74" s="22">
        <f t="shared" si="10"/>
        <v>51.823588648496774</v>
      </c>
      <c r="H74" s="45">
        <f t="shared" si="11"/>
        <v>14.007504837813377</v>
      </c>
      <c r="I74" s="42">
        <f t="shared" si="12"/>
        <v>65.831093486310152</v>
      </c>
      <c r="J74" s="30">
        <f t="shared" si="14"/>
        <v>310</v>
      </c>
      <c r="K74" s="195"/>
      <c r="L74" s="27">
        <f t="shared" si="13"/>
        <v>375.83109348631012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4752867</v>
      </c>
      <c r="E75" s="1">
        <v>4770353</v>
      </c>
      <c r="F75" s="41">
        <f t="shared" si="9"/>
        <v>17.486000000000001</v>
      </c>
      <c r="G75" s="22">
        <f t="shared" si="10"/>
        <v>68.546692216914877</v>
      </c>
      <c r="H75" s="45">
        <f t="shared" si="11"/>
        <v>14.007504837813377</v>
      </c>
      <c r="I75" s="42">
        <f t="shared" si="12"/>
        <v>82.554197054728249</v>
      </c>
      <c r="J75" s="30">
        <f t="shared" si="14"/>
        <v>310</v>
      </c>
      <c r="K75" s="195"/>
      <c r="L75" s="27">
        <f t="shared" si="13"/>
        <v>392.55419705472826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2914223</v>
      </c>
      <c r="E76" s="1">
        <v>2937823</v>
      </c>
      <c r="F76" s="41">
        <f t="shared" si="9"/>
        <v>23.6</v>
      </c>
      <c r="G76" s="22">
        <f t="shared" si="10"/>
        <v>92.514121944366408</v>
      </c>
      <c r="H76" s="45">
        <f t="shared" si="11"/>
        <v>14.007504837813377</v>
      </c>
      <c r="I76" s="42">
        <f t="shared" si="12"/>
        <v>106.52162678217978</v>
      </c>
      <c r="J76" s="30">
        <f t="shared" si="14"/>
        <v>310</v>
      </c>
      <c r="K76" s="195"/>
      <c r="L76" s="27">
        <f t="shared" si="13"/>
        <v>416.52162678217979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2698732</v>
      </c>
      <c r="E77" s="1">
        <v>2721060</v>
      </c>
      <c r="F77" s="41">
        <f t="shared" si="9"/>
        <v>22.327999999999999</v>
      </c>
      <c r="G77" s="22">
        <f t="shared" si="10"/>
        <v>87.527767575161576</v>
      </c>
      <c r="H77" s="45">
        <f t="shared" si="11"/>
        <v>14.007504837813377</v>
      </c>
      <c r="I77" s="42">
        <f t="shared" si="12"/>
        <v>101.53527241297495</v>
      </c>
      <c r="J77" s="30">
        <f t="shared" si="14"/>
        <v>310</v>
      </c>
      <c r="K77" s="195"/>
      <c r="L77" s="27">
        <f t="shared" si="13"/>
        <v>411.53527241297496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2762640</v>
      </c>
      <c r="E78" s="1">
        <v>2779159</v>
      </c>
      <c r="F78" s="41">
        <f t="shared" si="9"/>
        <v>16.519000000000002</v>
      </c>
      <c r="G78" s="22">
        <f t="shared" si="10"/>
        <v>64.755965271143594</v>
      </c>
      <c r="H78" s="45">
        <f t="shared" si="11"/>
        <v>14.007504837813377</v>
      </c>
      <c r="I78" s="42">
        <f t="shared" si="12"/>
        <v>78.763470108956966</v>
      </c>
      <c r="J78" s="30">
        <f t="shared" si="14"/>
        <v>310</v>
      </c>
      <c r="K78" s="195"/>
      <c r="L78" s="27">
        <f t="shared" si="13"/>
        <v>388.76347010895699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4705897</v>
      </c>
      <c r="E79" s="1">
        <v>4738169</v>
      </c>
      <c r="F79" s="41">
        <f t="shared" si="9"/>
        <v>32.271999999999998</v>
      </c>
      <c r="G79" s="22">
        <f t="shared" si="10"/>
        <v>126.50914166900816</v>
      </c>
      <c r="H79" s="45">
        <f t="shared" si="11"/>
        <v>14.007504837813377</v>
      </c>
      <c r="I79" s="42">
        <f t="shared" si="12"/>
        <v>140.51664650682153</v>
      </c>
      <c r="J79" s="30">
        <f t="shared" si="14"/>
        <v>310</v>
      </c>
      <c r="K79" s="195"/>
      <c r="L79" s="27">
        <f t="shared" si="13"/>
        <v>450.51664650682153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4940897</v>
      </c>
      <c r="E80" s="1">
        <v>4958114</v>
      </c>
      <c r="F80" s="41">
        <f t="shared" si="9"/>
        <v>17.216999999999999</v>
      </c>
      <c r="G80" s="22">
        <f t="shared" si="10"/>
        <v>67.492188030345602</v>
      </c>
      <c r="H80" s="45">
        <f t="shared" si="11"/>
        <v>14.007504837813377</v>
      </c>
      <c r="I80" s="42">
        <f t="shared" si="12"/>
        <v>81.499692868158974</v>
      </c>
      <c r="J80" s="30">
        <f t="shared" si="14"/>
        <v>310</v>
      </c>
      <c r="K80" s="195"/>
      <c r="L80" s="27">
        <f t="shared" si="13"/>
        <v>391.49969286815895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3155125</v>
      </c>
      <c r="E81" s="1">
        <v>3170231</v>
      </c>
      <c r="F81" s="41">
        <f t="shared" si="9"/>
        <v>15.106</v>
      </c>
      <c r="G81" s="22">
        <f t="shared" si="10"/>
        <v>59.216878224220295</v>
      </c>
      <c r="H81" s="45">
        <f t="shared" si="11"/>
        <v>14.007504837813377</v>
      </c>
      <c r="I81" s="42">
        <f t="shared" si="12"/>
        <v>73.224383062033667</v>
      </c>
      <c r="J81" s="30">
        <f t="shared" si="14"/>
        <v>310</v>
      </c>
      <c r="K81" s="195"/>
      <c r="L81" s="27">
        <f t="shared" si="13"/>
        <v>383.22438306203367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3498900</v>
      </c>
      <c r="E82" s="1">
        <v>3528450</v>
      </c>
      <c r="F82" s="41">
        <f t="shared" si="9"/>
        <v>29.55</v>
      </c>
      <c r="G82" s="22">
        <f t="shared" si="10"/>
        <v>115.83865692610286</v>
      </c>
      <c r="H82" s="45">
        <f t="shared" si="11"/>
        <v>14.007504837813377</v>
      </c>
      <c r="I82" s="42">
        <f t="shared" si="12"/>
        <v>129.84616176391623</v>
      </c>
      <c r="J82" s="30">
        <f t="shared" si="14"/>
        <v>310</v>
      </c>
      <c r="K82" s="195"/>
      <c r="L82" s="27">
        <f t="shared" si="13"/>
        <v>439.84616176391626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4798853</v>
      </c>
      <c r="E83" s="1">
        <v>4828227</v>
      </c>
      <c r="F83" s="41">
        <f t="shared" si="9"/>
        <v>29.374000000000002</v>
      </c>
      <c r="G83" s="22">
        <f t="shared" si="10"/>
        <v>115.14872110143301</v>
      </c>
      <c r="H83" s="45">
        <f t="shared" si="11"/>
        <v>14.007504837813377</v>
      </c>
      <c r="I83" s="42">
        <f t="shared" si="12"/>
        <v>129.15622593924638</v>
      </c>
      <c r="J83" s="30">
        <f t="shared" si="14"/>
        <v>310</v>
      </c>
      <c r="K83" s="195"/>
      <c r="L83" s="27">
        <f t="shared" si="13"/>
        <v>439.15622593924638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1849682</v>
      </c>
      <c r="E84" s="1">
        <v>1868816</v>
      </c>
      <c r="F84" s="41">
        <f t="shared" si="9"/>
        <v>19.134</v>
      </c>
      <c r="G84" s="22">
        <f t="shared" si="10"/>
        <v>75.007000393368926</v>
      </c>
      <c r="H84" s="45">
        <f t="shared" si="11"/>
        <v>14.007504837813377</v>
      </c>
      <c r="I84" s="42">
        <f t="shared" si="12"/>
        <v>89.014505231182298</v>
      </c>
      <c r="J84" s="30">
        <f t="shared" si="14"/>
        <v>310</v>
      </c>
      <c r="K84" s="195"/>
      <c r="L84" s="27">
        <f t="shared" si="13"/>
        <v>399.01450523118228</v>
      </c>
    </row>
    <row r="85" spans="1:12" ht="15" customHeight="1" x14ac:dyDescent="0.45">
      <c r="A85" s="318"/>
      <c r="B85" s="5" t="s">
        <v>7</v>
      </c>
      <c r="C85" s="2">
        <v>103</v>
      </c>
      <c r="D85" s="1">
        <v>3011047</v>
      </c>
      <c r="E85" s="1">
        <v>3014652</v>
      </c>
      <c r="F85" s="41">
        <f t="shared" si="9"/>
        <v>3.605</v>
      </c>
      <c r="G85" s="22">
        <f t="shared" si="10"/>
        <v>14.131924135993257</v>
      </c>
      <c r="H85" s="45">
        <f t="shared" si="11"/>
        <v>14.007504837813377</v>
      </c>
      <c r="I85" s="42">
        <f t="shared" si="12"/>
        <v>28.139428973806634</v>
      </c>
      <c r="J85" s="30">
        <f t="shared" si="14"/>
        <v>310</v>
      </c>
      <c r="K85" s="195"/>
      <c r="L85" s="27">
        <f t="shared" si="13"/>
        <v>338.13942897380662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2625472</v>
      </c>
      <c r="E86" s="1">
        <v>2641998</v>
      </c>
      <c r="F86" s="41">
        <f t="shared" si="9"/>
        <v>16.526</v>
      </c>
      <c r="G86" s="22">
        <f t="shared" si="10"/>
        <v>64.783405900533864</v>
      </c>
      <c r="H86" s="45">
        <f t="shared" si="11"/>
        <v>14.007504837813377</v>
      </c>
      <c r="I86" s="42">
        <f t="shared" si="12"/>
        <v>78.790910738347236</v>
      </c>
      <c r="J86" s="30">
        <f t="shared" si="14"/>
        <v>310</v>
      </c>
      <c r="K86" s="195"/>
      <c r="L86" s="27">
        <f t="shared" si="13"/>
        <v>388.79091073834724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5193916</v>
      </c>
      <c r="E87" s="1">
        <v>5228087</v>
      </c>
      <c r="F87" s="41">
        <f t="shared" si="9"/>
        <v>34.170999999999999</v>
      </c>
      <c r="G87" s="22">
        <f t="shared" si="10"/>
        <v>133.95339241359935</v>
      </c>
      <c r="H87" s="45">
        <f t="shared" si="11"/>
        <v>14.007504837813377</v>
      </c>
      <c r="I87" s="42">
        <f t="shared" si="12"/>
        <v>147.96089725141272</v>
      </c>
      <c r="J87" s="30">
        <f t="shared" si="14"/>
        <v>310</v>
      </c>
      <c r="K87" s="195"/>
      <c r="L87" s="27">
        <f t="shared" si="13"/>
        <v>457.96089725141269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27444</v>
      </c>
      <c r="E88" s="1">
        <v>27515</v>
      </c>
      <c r="F88" s="41">
        <f>(E88-D88)*0.01</f>
        <v>0.71</v>
      </c>
      <c r="G88" s="22">
        <f t="shared" si="10"/>
        <v>2.7832638381567856</v>
      </c>
      <c r="H88" s="45">
        <f t="shared" si="11"/>
        <v>14.007504837813377</v>
      </c>
      <c r="I88" s="42">
        <f t="shared" si="12"/>
        <v>16.790768675970163</v>
      </c>
      <c r="J88" s="30">
        <f t="shared" si="14"/>
        <v>310</v>
      </c>
      <c r="K88" s="195"/>
      <c r="L88" s="27">
        <f t="shared" si="13"/>
        <v>326.79076867597018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4514588</v>
      </c>
      <c r="E89" s="1">
        <v>4548147</v>
      </c>
      <c r="F89" s="41">
        <f>(E89-D89)*$N$1</f>
        <v>33.558999999999997</v>
      </c>
      <c r="G89" s="22">
        <f t="shared" si="10"/>
        <v>131.55429738690643</v>
      </c>
      <c r="H89" s="45">
        <f t="shared" si="11"/>
        <v>14.007504837813377</v>
      </c>
      <c r="I89" s="42">
        <f t="shared" si="12"/>
        <v>145.5618022247198</v>
      </c>
      <c r="J89" s="30">
        <f t="shared" si="14"/>
        <v>310</v>
      </c>
      <c r="K89" s="195"/>
      <c r="L89" s="27">
        <f t="shared" si="13"/>
        <v>455.56180222471983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133137</v>
      </c>
      <c r="E90" s="1">
        <v>133146</v>
      </c>
      <c r="F90" s="41">
        <f>(E90-D90)*0.01</f>
        <v>0.09</v>
      </c>
      <c r="G90" s="22">
        <f t="shared" si="10"/>
        <v>0.35280809216071934</v>
      </c>
      <c r="H90" s="45">
        <f t="shared" si="11"/>
        <v>14.007504837813377</v>
      </c>
      <c r="I90" s="42">
        <f t="shared" si="12"/>
        <v>14.360312929974096</v>
      </c>
      <c r="J90" s="30">
        <f t="shared" si="14"/>
        <v>310</v>
      </c>
      <c r="K90" s="195"/>
      <c r="L90" s="27">
        <f t="shared" si="13"/>
        <v>324.3603129299741</v>
      </c>
    </row>
    <row r="91" spans="1:12" ht="15" customHeight="1" x14ac:dyDescent="0.45">
      <c r="A91" s="318"/>
      <c r="B91" s="5" t="s">
        <v>7</v>
      </c>
      <c r="C91" s="2">
        <v>301</v>
      </c>
      <c r="D91" s="1">
        <v>5032658</v>
      </c>
      <c r="E91" s="1">
        <v>5057569</v>
      </c>
      <c r="F91" s="41">
        <f t="shared" ref="F91:F103" si="15">(E91-D91)*$N$1</f>
        <v>24.911000000000001</v>
      </c>
      <c r="G91" s="22">
        <f t="shared" si="10"/>
        <v>97.653359820174217</v>
      </c>
      <c r="H91" s="45">
        <f t="shared" si="11"/>
        <v>14.007504837813377</v>
      </c>
      <c r="I91" s="42">
        <f t="shared" si="12"/>
        <v>111.66086465798759</v>
      </c>
      <c r="J91" s="30">
        <f t="shared" si="14"/>
        <v>310</v>
      </c>
      <c r="K91" s="195"/>
      <c r="L91" s="27">
        <f t="shared" si="13"/>
        <v>421.66086465798759</v>
      </c>
    </row>
    <row r="92" spans="1:12" ht="15" customHeight="1" x14ac:dyDescent="0.45">
      <c r="A92" s="318"/>
      <c r="B92" s="5" t="s">
        <v>7</v>
      </c>
      <c r="C92" s="2">
        <v>302</v>
      </c>
      <c r="D92" s="1">
        <v>0</v>
      </c>
      <c r="E92" s="1">
        <v>35132</v>
      </c>
      <c r="F92" s="41">
        <f t="shared" si="15"/>
        <v>35.131999999999998</v>
      </c>
      <c r="G92" s="22">
        <f t="shared" si="10"/>
        <v>137.72059881989324</v>
      </c>
      <c r="H92" s="45">
        <f t="shared" si="11"/>
        <v>14.007504837813377</v>
      </c>
      <c r="I92" s="42">
        <f t="shared" si="12"/>
        <v>151.72810365770661</v>
      </c>
      <c r="J92" s="30">
        <f t="shared" si="14"/>
        <v>310</v>
      </c>
      <c r="K92" s="195"/>
      <c r="L92" s="27">
        <f t="shared" si="13"/>
        <v>461.72810365770658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4820222</v>
      </c>
      <c r="E93" s="1">
        <v>4865605</v>
      </c>
      <c r="F93" s="41">
        <f t="shared" si="15"/>
        <v>45.383000000000003</v>
      </c>
      <c r="G93" s="22">
        <f t="shared" si="10"/>
        <v>177.90544051699919</v>
      </c>
      <c r="H93" s="45">
        <f t="shared" si="11"/>
        <v>14.007504837813377</v>
      </c>
      <c r="I93" s="42">
        <f t="shared" si="12"/>
        <v>191.91294535481256</v>
      </c>
      <c r="J93" s="30">
        <f t="shared" si="14"/>
        <v>310</v>
      </c>
      <c r="K93" s="195">
        <v>10</v>
      </c>
      <c r="L93" s="27">
        <f t="shared" si="13"/>
        <v>511.91294535481256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2468515</v>
      </c>
      <c r="E94" s="1">
        <v>2480188</v>
      </c>
      <c r="F94" s="41">
        <f t="shared" si="15"/>
        <v>11.673</v>
      </c>
      <c r="G94" s="22">
        <f t="shared" si="10"/>
        <v>45.759209553245299</v>
      </c>
      <c r="H94" s="45">
        <f t="shared" si="11"/>
        <v>14.007504837813377</v>
      </c>
      <c r="I94" s="42">
        <f t="shared" si="12"/>
        <v>59.766714391058677</v>
      </c>
      <c r="J94" s="30">
        <f t="shared" si="14"/>
        <v>310</v>
      </c>
      <c r="K94" s="195"/>
      <c r="L94" s="27">
        <f t="shared" si="13"/>
        <v>369.76671439105866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3822827</v>
      </c>
      <c r="E95" s="1">
        <v>3844330</v>
      </c>
      <c r="F95" s="41">
        <f t="shared" si="15"/>
        <v>21.503</v>
      </c>
      <c r="G95" s="22">
        <f t="shared" si="10"/>
        <v>84.293693397021642</v>
      </c>
      <c r="H95" s="45">
        <f t="shared" si="11"/>
        <v>14.007504837813377</v>
      </c>
      <c r="I95" s="42">
        <f t="shared" si="12"/>
        <v>98.301198234835013</v>
      </c>
      <c r="J95" s="30">
        <f t="shared" si="14"/>
        <v>310</v>
      </c>
      <c r="K95" s="195"/>
      <c r="L95" s="27">
        <f t="shared" si="13"/>
        <v>408.301198234835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3292047</v>
      </c>
      <c r="E96" s="1">
        <v>3306103</v>
      </c>
      <c r="F96" s="41">
        <f t="shared" si="15"/>
        <v>14.056000000000001</v>
      </c>
      <c r="G96" s="22">
        <f t="shared" si="10"/>
        <v>55.100783815678568</v>
      </c>
      <c r="H96" s="45">
        <f t="shared" si="11"/>
        <v>14.007504837813377</v>
      </c>
      <c r="I96" s="42">
        <f t="shared" si="12"/>
        <v>69.10828865349194</v>
      </c>
      <c r="J96" s="30">
        <f t="shared" si="14"/>
        <v>310</v>
      </c>
      <c r="K96" s="195"/>
      <c r="L96" s="27">
        <f t="shared" si="13"/>
        <v>379.10828865349197</v>
      </c>
    </row>
    <row r="97" spans="1:12" ht="15" customHeight="1" x14ac:dyDescent="0.45">
      <c r="A97" s="318"/>
      <c r="B97" s="5" t="s">
        <v>7</v>
      </c>
      <c r="C97" s="2">
        <v>403</v>
      </c>
      <c r="D97" s="1">
        <v>3014374</v>
      </c>
      <c r="E97" s="1">
        <v>3024248</v>
      </c>
      <c r="F97" s="41">
        <f t="shared" si="15"/>
        <v>9.8740000000000006</v>
      </c>
      <c r="G97" s="22">
        <f t="shared" si="10"/>
        <v>38.706967799943811</v>
      </c>
      <c r="H97" s="45">
        <f t="shared" si="11"/>
        <v>14.007504837813377</v>
      </c>
      <c r="I97" s="42">
        <f t="shared" si="12"/>
        <v>52.71447263775719</v>
      </c>
      <c r="J97" s="30">
        <f t="shared" si="14"/>
        <v>310</v>
      </c>
      <c r="K97" s="195"/>
      <c r="L97" s="27">
        <f t="shared" si="13"/>
        <v>362.71447263775718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3190255</v>
      </c>
      <c r="E98" s="1">
        <v>3208212</v>
      </c>
      <c r="F98" s="41">
        <f t="shared" si="15"/>
        <v>17.957000000000001</v>
      </c>
      <c r="G98" s="22">
        <f t="shared" si="10"/>
        <v>70.393054565889301</v>
      </c>
      <c r="H98" s="45">
        <f t="shared" si="11"/>
        <v>14.007504837813377</v>
      </c>
      <c r="I98" s="42">
        <f t="shared" si="12"/>
        <v>84.400559403702673</v>
      </c>
      <c r="J98" s="30">
        <f t="shared" si="14"/>
        <v>310</v>
      </c>
      <c r="K98" s="195"/>
      <c r="L98" s="27">
        <f t="shared" si="13"/>
        <v>394.40055940370269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2766734</v>
      </c>
      <c r="E99" s="1">
        <v>2779148</v>
      </c>
      <c r="F99" s="41">
        <f t="shared" si="15"/>
        <v>12.414</v>
      </c>
      <c r="G99" s="22">
        <f t="shared" si="10"/>
        <v>48.663996178701886</v>
      </c>
      <c r="H99" s="45">
        <f t="shared" si="11"/>
        <v>14.007504837813377</v>
      </c>
      <c r="I99" s="42">
        <f t="shared" si="12"/>
        <v>62.671501016515265</v>
      </c>
      <c r="J99" s="30">
        <f t="shared" si="14"/>
        <v>310</v>
      </c>
      <c r="K99" s="195"/>
      <c r="L99" s="27">
        <f t="shared" si="13"/>
        <v>372.67150101651526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2535566</v>
      </c>
      <c r="E100" s="1">
        <v>2544439</v>
      </c>
      <c r="F100" s="41">
        <f t="shared" si="15"/>
        <v>8.8729999999999993</v>
      </c>
      <c r="G100" s="22">
        <f t="shared" si="10"/>
        <v>34.782957797134024</v>
      </c>
      <c r="H100" s="45">
        <f t="shared" si="11"/>
        <v>14.007504837813377</v>
      </c>
      <c r="I100" s="42">
        <f t="shared" si="12"/>
        <v>48.790462634947403</v>
      </c>
      <c r="J100" s="30">
        <f t="shared" si="14"/>
        <v>310</v>
      </c>
      <c r="K100" s="195"/>
      <c r="L100" s="27">
        <f t="shared" si="13"/>
        <v>358.7904626349474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3143864</v>
      </c>
      <c r="E101" s="1">
        <v>3164269</v>
      </c>
      <c r="F101" s="41">
        <f t="shared" si="15"/>
        <v>20.405000000000001</v>
      </c>
      <c r="G101" s="22">
        <f t="shared" si="10"/>
        <v>79.989434672660877</v>
      </c>
      <c r="H101" s="45">
        <f t="shared" si="11"/>
        <v>14.007504837813377</v>
      </c>
      <c r="I101" s="42">
        <f t="shared" si="12"/>
        <v>93.996939510474249</v>
      </c>
      <c r="J101" s="30">
        <f t="shared" si="14"/>
        <v>310</v>
      </c>
      <c r="K101" s="195">
        <v>10</v>
      </c>
      <c r="L101" s="27">
        <f t="shared" si="13"/>
        <v>413.99693951047425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4123918</v>
      </c>
      <c r="E102" s="1">
        <v>4143033</v>
      </c>
      <c r="F102" s="41">
        <f t="shared" si="15"/>
        <v>19.115000000000002</v>
      </c>
      <c r="G102" s="22">
        <f t="shared" si="10"/>
        <v>74.932518685023894</v>
      </c>
      <c r="H102" s="45">
        <f t="shared" si="11"/>
        <v>14.007504837813377</v>
      </c>
      <c r="I102" s="42">
        <f t="shared" si="12"/>
        <v>88.940023522837265</v>
      </c>
      <c r="J102" s="30">
        <f t="shared" si="14"/>
        <v>310</v>
      </c>
      <c r="K102" s="195"/>
      <c r="L102" s="27">
        <f t="shared" si="13"/>
        <v>398.94002352283724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3792609</v>
      </c>
      <c r="E103" s="1">
        <v>3823669</v>
      </c>
      <c r="F103" s="41">
        <f t="shared" si="15"/>
        <v>31.060000000000002</v>
      </c>
      <c r="G103" s="22">
        <f t="shared" si="10"/>
        <v>121.75799269457715</v>
      </c>
      <c r="H103" s="45">
        <f t="shared" si="11"/>
        <v>14.007504837813377</v>
      </c>
      <c r="I103" s="42">
        <f t="shared" si="12"/>
        <v>135.76549753239053</v>
      </c>
      <c r="J103" s="30">
        <f t="shared" si="14"/>
        <v>310</v>
      </c>
      <c r="K103" s="195"/>
      <c r="L103" s="27">
        <f t="shared" si="13"/>
        <v>445.76549753239055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154896</v>
      </c>
      <c r="E104" s="1">
        <v>157717</v>
      </c>
      <c r="F104" s="41">
        <f>(E104-D104)*0.01</f>
        <v>28.21</v>
      </c>
      <c r="G104" s="22">
        <f t="shared" si="10"/>
        <v>110.58573644282103</v>
      </c>
      <c r="H104" s="45">
        <f t="shared" si="11"/>
        <v>14.007504837813377</v>
      </c>
      <c r="I104" s="42">
        <f t="shared" si="12"/>
        <v>124.5932412806344</v>
      </c>
      <c r="J104" s="30">
        <f t="shared" si="14"/>
        <v>310</v>
      </c>
      <c r="K104" s="195"/>
      <c r="L104" s="27">
        <f t="shared" si="13"/>
        <v>434.5932412806344</v>
      </c>
    </row>
    <row r="105" spans="1:12" ht="15" customHeight="1" x14ac:dyDescent="0.45">
      <c r="A105" s="314"/>
      <c r="B105" s="107" t="s">
        <v>8</v>
      </c>
      <c r="C105" s="2">
        <v>103</v>
      </c>
      <c r="D105" s="1">
        <v>70281</v>
      </c>
      <c r="E105" s="1">
        <v>84585</v>
      </c>
      <c r="F105" s="41">
        <f t="shared" ref="F105:F123" si="16">(E105-D105)*$N$1</f>
        <v>14.304</v>
      </c>
      <c r="G105" s="22">
        <f t="shared" si="10"/>
        <v>56.072966114076998</v>
      </c>
      <c r="H105" s="45">
        <f t="shared" si="11"/>
        <v>14.007504837813377</v>
      </c>
      <c r="I105" s="42">
        <f t="shared" si="12"/>
        <v>70.080470951890376</v>
      </c>
      <c r="J105" s="30">
        <f t="shared" si="14"/>
        <v>310</v>
      </c>
      <c r="K105" s="195"/>
      <c r="L105" s="27">
        <f t="shared" si="13"/>
        <v>380.08047095189039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443247</v>
      </c>
      <c r="E106" s="1">
        <v>443756</v>
      </c>
      <c r="F106" s="41">
        <f t="shared" si="16"/>
        <v>0.50900000000000001</v>
      </c>
      <c r="G106" s="22">
        <f t="shared" si="10"/>
        <v>1.9953257656645127</v>
      </c>
      <c r="H106" s="45">
        <f t="shared" si="11"/>
        <v>14.007504837813377</v>
      </c>
      <c r="I106" s="42">
        <f t="shared" si="12"/>
        <v>16.002830603477889</v>
      </c>
      <c r="J106" s="30">
        <f t="shared" si="14"/>
        <v>310</v>
      </c>
      <c r="K106" s="195"/>
      <c r="L106" s="27">
        <f t="shared" si="13"/>
        <v>326.00283060347789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11999</v>
      </c>
      <c r="E107" s="1">
        <v>12888</v>
      </c>
      <c r="F107" s="41">
        <f t="shared" si="16"/>
        <v>0.88900000000000001</v>
      </c>
      <c r="G107" s="22">
        <f t="shared" si="10"/>
        <v>3.484959932565328</v>
      </c>
      <c r="H107" s="45">
        <f t="shared" si="11"/>
        <v>14.007504837813377</v>
      </c>
      <c r="I107" s="42">
        <f t="shared" si="12"/>
        <v>17.492464770378703</v>
      </c>
      <c r="J107" s="30">
        <f t="shared" si="14"/>
        <v>310</v>
      </c>
      <c r="K107" s="195"/>
      <c r="L107" s="27">
        <f t="shared" si="13"/>
        <v>327.49246477037872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130709</v>
      </c>
      <c r="E108" s="1">
        <v>149448</v>
      </c>
      <c r="F108" s="41">
        <f t="shared" si="16"/>
        <v>18.739000000000001</v>
      </c>
      <c r="G108" s="22">
        <f t="shared" si="10"/>
        <v>73.458564877774663</v>
      </c>
      <c r="H108" s="45">
        <f t="shared" si="11"/>
        <v>14.007504837813377</v>
      </c>
      <c r="I108" s="42">
        <f t="shared" si="12"/>
        <v>87.466069715588034</v>
      </c>
      <c r="J108" s="30">
        <f t="shared" si="14"/>
        <v>310</v>
      </c>
      <c r="K108" s="195"/>
      <c r="L108" s="27">
        <f t="shared" si="13"/>
        <v>397.46606971558805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3584131</v>
      </c>
      <c r="E109" s="1">
        <v>3594623</v>
      </c>
      <c r="F109" s="41">
        <f t="shared" si="16"/>
        <v>10.492000000000001</v>
      </c>
      <c r="G109" s="22">
        <f t="shared" si="10"/>
        <v>41.129583366114083</v>
      </c>
      <c r="H109" s="45">
        <f t="shared" si="11"/>
        <v>14.007504837813377</v>
      </c>
      <c r="I109" s="42">
        <f t="shared" si="12"/>
        <v>55.137088203927462</v>
      </c>
      <c r="J109" s="30">
        <f t="shared" si="14"/>
        <v>310</v>
      </c>
      <c r="K109" s="195"/>
      <c r="L109" s="27">
        <f t="shared" si="13"/>
        <v>365.13708820392748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1930590</v>
      </c>
      <c r="E110" s="1">
        <v>1945910</v>
      </c>
      <c r="F110" s="41">
        <f t="shared" si="16"/>
        <v>15.32</v>
      </c>
      <c r="G110" s="22">
        <f t="shared" si="10"/>
        <v>60.055777465580228</v>
      </c>
      <c r="H110" s="45">
        <f t="shared" si="11"/>
        <v>14.007504837813377</v>
      </c>
      <c r="I110" s="42">
        <f t="shared" si="12"/>
        <v>74.063282303393606</v>
      </c>
      <c r="J110" s="30">
        <f t="shared" si="14"/>
        <v>310</v>
      </c>
      <c r="K110" s="195"/>
      <c r="L110" s="27">
        <f t="shared" si="13"/>
        <v>384.06328230339363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3646727</v>
      </c>
      <c r="E111" s="1">
        <v>3654859</v>
      </c>
      <c r="F111" s="41">
        <f t="shared" si="16"/>
        <v>8.1319999999999997</v>
      </c>
      <c r="G111" s="22">
        <f t="shared" si="10"/>
        <v>31.87817117167744</v>
      </c>
      <c r="H111" s="45">
        <f t="shared" si="11"/>
        <v>14.007504837813377</v>
      </c>
      <c r="I111" s="42">
        <f t="shared" si="12"/>
        <v>45.885676009490815</v>
      </c>
      <c r="J111" s="30">
        <f t="shared" si="14"/>
        <v>310</v>
      </c>
      <c r="K111" s="195"/>
      <c r="L111" s="27">
        <f t="shared" si="13"/>
        <v>355.88567600949079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3338352</v>
      </c>
      <c r="E112" s="1">
        <v>3346593</v>
      </c>
      <c r="F112" s="41">
        <f t="shared" si="16"/>
        <v>8.2409999999999997</v>
      </c>
      <c r="G112" s="22">
        <f t="shared" si="10"/>
        <v>32.305460972183198</v>
      </c>
      <c r="H112" s="45">
        <f t="shared" si="11"/>
        <v>14.007504837813377</v>
      </c>
      <c r="I112" s="42">
        <f t="shared" si="12"/>
        <v>46.312965809996577</v>
      </c>
      <c r="J112" s="30">
        <f t="shared" si="14"/>
        <v>310</v>
      </c>
      <c r="K112" s="195"/>
      <c r="L112" s="27">
        <f t="shared" si="13"/>
        <v>356.31296580999657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3649339</v>
      </c>
      <c r="E113" s="1">
        <v>3681346</v>
      </c>
      <c r="F113" s="41">
        <f t="shared" si="16"/>
        <v>32.006999999999998</v>
      </c>
      <c r="G113" s="22">
        <f t="shared" si="10"/>
        <v>125.47031784209048</v>
      </c>
      <c r="H113" s="45">
        <f t="shared" si="11"/>
        <v>14.007504837813377</v>
      </c>
      <c r="I113" s="42">
        <f t="shared" si="12"/>
        <v>139.47782267990385</v>
      </c>
      <c r="J113" s="30">
        <f t="shared" si="14"/>
        <v>310</v>
      </c>
      <c r="K113" s="195"/>
      <c r="L113" s="27">
        <f t="shared" si="13"/>
        <v>449.47782267990385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28583</v>
      </c>
      <c r="E114" s="1">
        <v>39655</v>
      </c>
      <c r="F114" s="41">
        <f t="shared" si="16"/>
        <v>11.072000000000001</v>
      </c>
      <c r="G114" s="22">
        <f t="shared" si="10"/>
        <v>43.403235515594275</v>
      </c>
      <c r="H114" s="45">
        <f t="shared" si="11"/>
        <v>14.007504837813377</v>
      </c>
      <c r="I114" s="42">
        <f t="shared" si="12"/>
        <v>57.410740353407654</v>
      </c>
      <c r="J114" s="30">
        <f t="shared" si="14"/>
        <v>310</v>
      </c>
      <c r="K114" s="195"/>
      <c r="L114" s="27">
        <f t="shared" si="13"/>
        <v>367.41074035340768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2780356</v>
      </c>
      <c r="E115" s="1">
        <v>2794527</v>
      </c>
      <c r="F115" s="41">
        <f t="shared" si="16"/>
        <v>14.171000000000001</v>
      </c>
      <c r="G115" s="22">
        <f t="shared" si="10"/>
        <v>55.551594155661711</v>
      </c>
      <c r="H115" s="45">
        <f t="shared" si="11"/>
        <v>14.007504837813377</v>
      </c>
      <c r="I115" s="42">
        <f t="shared" si="12"/>
        <v>69.559098993475089</v>
      </c>
      <c r="J115" s="30">
        <f t="shared" si="14"/>
        <v>310</v>
      </c>
      <c r="K115" s="195"/>
      <c r="L115" s="27">
        <f t="shared" si="13"/>
        <v>379.55909899347512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6053</v>
      </c>
      <c r="E116" s="1">
        <v>6818</v>
      </c>
      <c r="F116" s="41">
        <f t="shared" si="16"/>
        <v>0.76500000000000001</v>
      </c>
      <c r="G116" s="22">
        <f t="shared" si="10"/>
        <v>2.9988687833661145</v>
      </c>
      <c r="H116" s="45">
        <f t="shared" si="11"/>
        <v>14.007504837813377</v>
      </c>
      <c r="I116" s="42">
        <f t="shared" si="12"/>
        <v>17.006373621179492</v>
      </c>
      <c r="J116" s="30">
        <f t="shared" si="14"/>
        <v>310</v>
      </c>
      <c r="K116" s="195"/>
      <c r="L116" s="27">
        <f t="shared" si="13"/>
        <v>327.00637362117948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532379</v>
      </c>
      <c r="E117" s="1">
        <v>532952</v>
      </c>
      <c r="F117" s="41">
        <f t="shared" si="16"/>
        <v>0.57300000000000006</v>
      </c>
      <c r="G117" s="22">
        <f t="shared" si="10"/>
        <v>2.2462115200899135</v>
      </c>
      <c r="H117" s="45">
        <f t="shared" si="11"/>
        <v>14.007504837813377</v>
      </c>
      <c r="I117" s="42">
        <f t="shared" si="12"/>
        <v>16.25371635790329</v>
      </c>
      <c r="J117" s="30">
        <f t="shared" si="14"/>
        <v>310</v>
      </c>
      <c r="K117" s="195"/>
      <c r="L117" s="27">
        <f t="shared" si="13"/>
        <v>326.25371635790327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2711646</v>
      </c>
      <c r="E118" s="1">
        <v>2732864</v>
      </c>
      <c r="F118" s="41">
        <f t="shared" si="16"/>
        <v>21.218</v>
      </c>
      <c r="G118" s="22">
        <f t="shared" si="10"/>
        <v>83.176467771846035</v>
      </c>
      <c r="H118" s="45">
        <f t="shared" si="11"/>
        <v>14.007504837813377</v>
      </c>
      <c r="I118" s="42">
        <f t="shared" si="12"/>
        <v>97.183972609659406</v>
      </c>
      <c r="J118" s="30">
        <f t="shared" si="14"/>
        <v>310</v>
      </c>
      <c r="K118" s="195">
        <v>10</v>
      </c>
      <c r="L118" s="27">
        <f t="shared" si="13"/>
        <v>417.18397260965941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2744972</v>
      </c>
      <c r="E119" s="1">
        <v>2784203</v>
      </c>
      <c r="F119" s="41">
        <f t="shared" si="16"/>
        <v>39.231000000000002</v>
      </c>
      <c r="G119" s="22">
        <f t="shared" si="10"/>
        <v>153.78904737285757</v>
      </c>
      <c r="H119" s="45">
        <f t="shared" si="11"/>
        <v>14.007504837813377</v>
      </c>
      <c r="I119" s="42">
        <f t="shared" si="12"/>
        <v>167.79655221067094</v>
      </c>
      <c r="J119" s="30">
        <f t="shared" si="14"/>
        <v>310</v>
      </c>
      <c r="K119" s="195"/>
      <c r="L119" s="27">
        <f t="shared" si="13"/>
        <v>477.79655221067094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5857131</v>
      </c>
      <c r="E120" s="1">
        <v>5896240</v>
      </c>
      <c r="F120" s="41">
        <f t="shared" si="16"/>
        <v>39.109000000000002</v>
      </c>
      <c r="G120" s="22">
        <f t="shared" si="10"/>
        <v>153.31079640348415</v>
      </c>
      <c r="H120" s="45">
        <f t="shared" si="11"/>
        <v>14.007504837813377</v>
      </c>
      <c r="I120" s="42">
        <f t="shared" si="12"/>
        <v>167.31830124129752</v>
      </c>
      <c r="J120" s="30">
        <f t="shared" si="14"/>
        <v>310</v>
      </c>
      <c r="K120" s="195"/>
      <c r="L120" s="27">
        <f t="shared" si="13"/>
        <v>477.31830124129749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80092</v>
      </c>
      <c r="E121" s="1">
        <v>90992</v>
      </c>
      <c r="F121" s="41">
        <f t="shared" si="16"/>
        <v>10.9</v>
      </c>
      <c r="G121" s="22">
        <f t="shared" si="10"/>
        <v>42.728980050576013</v>
      </c>
      <c r="H121" s="45">
        <f t="shared" si="11"/>
        <v>14.007504837813377</v>
      </c>
      <c r="I121" s="42">
        <f t="shared" si="12"/>
        <v>56.736484888389391</v>
      </c>
      <c r="J121" s="30">
        <f t="shared" si="14"/>
        <v>310</v>
      </c>
      <c r="K121" s="195"/>
      <c r="L121" s="27">
        <f t="shared" si="13"/>
        <v>366.73648488838938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4310669</v>
      </c>
      <c r="E122" s="1">
        <v>4338096</v>
      </c>
      <c r="F122" s="41">
        <f t="shared" si="16"/>
        <v>27.427</v>
      </c>
      <c r="G122" s="22">
        <f t="shared" si="10"/>
        <v>107.51630604102277</v>
      </c>
      <c r="H122" s="45">
        <f t="shared" si="11"/>
        <v>14.007504837813377</v>
      </c>
      <c r="I122" s="42">
        <f t="shared" si="12"/>
        <v>121.52381087883614</v>
      </c>
      <c r="J122" s="30">
        <f t="shared" si="14"/>
        <v>310</v>
      </c>
      <c r="K122" s="195"/>
      <c r="L122" s="27">
        <f t="shared" si="13"/>
        <v>431.52381087883612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22010</v>
      </c>
      <c r="E123" s="1">
        <v>41797</v>
      </c>
      <c r="F123" s="41">
        <f t="shared" si="16"/>
        <v>19.786999999999999</v>
      </c>
      <c r="G123" s="22">
        <f t="shared" si="10"/>
        <v>77.566819106490598</v>
      </c>
      <c r="H123" s="45">
        <f t="shared" si="11"/>
        <v>14.007504837813377</v>
      </c>
      <c r="I123" s="42">
        <f t="shared" si="12"/>
        <v>91.57432394430397</v>
      </c>
      <c r="J123" s="30">
        <f t="shared" si="14"/>
        <v>310</v>
      </c>
      <c r="K123" s="195"/>
      <c r="L123" s="27">
        <f t="shared" si="13"/>
        <v>401.57432394430396</v>
      </c>
    </row>
    <row r="124" spans="1:12" ht="15" customHeight="1" x14ac:dyDescent="0.45">
      <c r="A124" s="318"/>
      <c r="B124" s="159" t="s">
        <v>9</v>
      </c>
      <c r="C124" s="2">
        <v>102</v>
      </c>
      <c r="D124" s="1">
        <v>23163</v>
      </c>
      <c r="E124" s="1">
        <v>23418</v>
      </c>
      <c r="F124" s="41">
        <f>(E124-D124)*0.01</f>
        <v>2.5500000000000003</v>
      </c>
      <c r="G124" s="22">
        <f>MMULT($G$1,1/$F$183)*F124</f>
        <v>9.9962292778870498</v>
      </c>
      <c r="H124" s="45">
        <f t="shared" si="11"/>
        <v>14.007504837813377</v>
      </c>
      <c r="I124" s="42">
        <f t="shared" si="12"/>
        <v>24.003734115700425</v>
      </c>
      <c r="J124" s="30">
        <f t="shared" si="14"/>
        <v>310</v>
      </c>
      <c r="K124" s="195"/>
      <c r="L124" s="27">
        <f t="shared" si="13"/>
        <v>334.00373411570041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2923145</v>
      </c>
      <c r="E125" s="1">
        <v>2957321</v>
      </c>
      <c r="F125" s="41">
        <f t="shared" ref="F125:F182" si="17">(E125-D125)*$N$1</f>
        <v>34.176000000000002</v>
      </c>
      <c r="G125" s="22">
        <f t="shared" si="10"/>
        <v>133.97299286316382</v>
      </c>
      <c r="H125" s="45">
        <f t="shared" si="11"/>
        <v>14.007504837813377</v>
      </c>
      <c r="I125" s="42">
        <f t="shared" si="12"/>
        <v>147.9804977009772</v>
      </c>
      <c r="J125" s="30">
        <f t="shared" si="14"/>
        <v>310</v>
      </c>
      <c r="K125" s="195"/>
      <c r="L125" s="27">
        <f t="shared" si="13"/>
        <v>457.9804977009772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2889539</v>
      </c>
      <c r="E126" s="1">
        <v>2900684</v>
      </c>
      <c r="F126" s="41">
        <f t="shared" si="17"/>
        <v>11.145</v>
      </c>
      <c r="G126" s="22">
        <f t="shared" si="10"/>
        <v>43.689402079235741</v>
      </c>
      <c r="H126" s="45">
        <f t="shared" si="11"/>
        <v>14.007504837813377</v>
      </c>
      <c r="I126" s="42">
        <f t="shared" si="12"/>
        <v>57.69690691704912</v>
      </c>
      <c r="J126" s="30">
        <f t="shared" si="14"/>
        <v>310</v>
      </c>
      <c r="K126" s="195"/>
      <c r="L126" s="27">
        <f t="shared" si="13"/>
        <v>367.69690691704909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2617951</v>
      </c>
      <c r="E127" s="1">
        <v>2629323</v>
      </c>
      <c r="F127" s="41">
        <f t="shared" si="17"/>
        <v>11.372</v>
      </c>
      <c r="G127" s="22">
        <f t="shared" si="10"/>
        <v>44.579262489463339</v>
      </c>
      <c r="H127" s="45">
        <f t="shared" si="11"/>
        <v>14.007504837813377</v>
      </c>
      <c r="I127" s="42">
        <f t="shared" si="12"/>
        <v>58.586767327276718</v>
      </c>
      <c r="J127" s="30">
        <f t="shared" si="14"/>
        <v>310</v>
      </c>
      <c r="K127" s="195"/>
      <c r="L127" s="27">
        <f t="shared" si="13"/>
        <v>368.58676732727673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4745513</v>
      </c>
      <c r="E128" s="1">
        <v>4764593</v>
      </c>
      <c r="F128" s="41">
        <f t="shared" si="17"/>
        <v>19.080000000000002</v>
      </c>
      <c r="G128" s="22">
        <f>MMULT($G$1,1/$F$183)*F128</f>
        <v>74.795315538072501</v>
      </c>
      <c r="H128" s="45">
        <f t="shared" si="11"/>
        <v>14.007504837813377</v>
      </c>
      <c r="I128" s="42">
        <f t="shared" si="12"/>
        <v>88.802820375885872</v>
      </c>
      <c r="J128" s="30">
        <f t="shared" si="14"/>
        <v>310</v>
      </c>
      <c r="K128" s="195"/>
      <c r="L128" s="27">
        <f t="shared" si="13"/>
        <v>398.80282037588586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2044059</v>
      </c>
      <c r="E129" s="1">
        <v>2044059</v>
      </c>
      <c r="F129" s="41">
        <f t="shared" si="17"/>
        <v>0</v>
      </c>
      <c r="G129" s="22">
        <f>MMULT($G$1,1/$F$183)*F129</f>
        <v>0</v>
      </c>
      <c r="H129" s="45">
        <f t="shared" si="11"/>
        <v>14.007504837813377</v>
      </c>
      <c r="I129" s="42">
        <f t="shared" si="12"/>
        <v>14.007504837813377</v>
      </c>
      <c r="J129" s="30">
        <f t="shared" si="14"/>
        <v>310</v>
      </c>
      <c r="K129" s="195"/>
      <c r="L129" s="27">
        <f t="shared" si="13"/>
        <v>324.00750483781337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2920926</v>
      </c>
      <c r="E130" s="1">
        <v>2930021</v>
      </c>
      <c r="F130" s="41">
        <f t="shared" si="17"/>
        <v>9.0950000000000006</v>
      </c>
      <c r="G130" s="22">
        <f>MMULT($G$1,1/$F$183)*F130</f>
        <v>35.653217757797144</v>
      </c>
      <c r="H130" s="45">
        <f t="shared" si="11"/>
        <v>14.007504837813377</v>
      </c>
      <c r="I130" s="42">
        <f t="shared" si="12"/>
        <v>49.660722595610522</v>
      </c>
      <c r="J130" s="30">
        <f t="shared" si="14"/>
        <v>310</v>
      </c>
      <c r="K130" s="195"/>
      <c r="L130" s="27">
        <f t="shared" si="13"/>
        <v>359.66072259561054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3018581</v>
      </c>
      <c r="E131" s="1">
        <v>3043602</v>
      </c>
      <c r="F131" s="41">
        <f t="shared" si="17"/>
        <v>25.021000000000001</v>
      </c>
      <c r="G131" s="22">
        <f>MMULT($G$1,1/$F$183)*F131</f>
        <v>98.084569710592874</v>
      </c>
      <c r="H131" s="45">
        <f t="shared" si="11"/>
        <v>14.007504837813377</v>
      </c>
      <c r="I131" s="42">
        <f t="shared" si="12"/>
        <v>112.09207454840625</v>
      </c>
      <c r="J131" s="30">
        <f t="shared" si="14"/>
        <v>310</v>
      </c>
      <c r="K131" s="195"/>
      <c r="L131" s="27">
        <f t="shared" si="13"/>
        <v>422.09207454840623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1868740</v>
      </c>
      <c r="E132" s="1">
        <v>1872572</v>
      </c>
      <c r="F132" s="41">
        <f t="shared" si="17"/>
        <v>3.8320000000000003</v>
      </c>
      <c r="G132" s="22">
        <f t="shared" ref="G132:G182" si="18">MMULT($G$1,1/$F$183)*F132</f>
        <v>15.021784546220852</v>
      </c>
      <c r="H132" s="45">
        <f t="shared" ref="H132:H182" si="19">MMULT($H$1,1/180)</f>
        <v>14.007504837813377</v>
      </c>
      <c r="I132" s="42">
        <f t="shared" ref="I132:I182" si="20">SUM(G132,H132)</f>
        <v>29.029289384034229</v>
      </c>
      <c r="J132" s="30">
        <f t="shared" si="14"/>
        <v>310</v>
      </c>
      <c r="K132" s="195"/>
      <c r="L132" s="27">
        <f t="shared" ref="L132:L182" si="21">SUM(I132,J132,K132)</f>
        <v>339.0292893840342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3422631</v>
      </c>
      <c r="E133" s="1">
        <v>3431600</v>
      </c>
      <c r="F133" s="41">
        <f t="shared" si="17"/>
        <v>8.9689999999999994</v>
      </c>
      <c r="G133" s="22">
        <f t="shared" si="18"/>
        <v>35.159286428772127</v>
      </c>
      <c r="H133" s="45">
        <f t="shared" si="19"/>
        <v>14.007504837813377</v>
      </c>
      <c r="I133" s="42">
        <f t="shared" si="20"/>
        <v>49.166791266585506</v>
      </c>
      <c r="J133" s="30">
        <f t="shared" ref="J133:J182" si="22">SUM($J$3)</f>
        <v>310</v>
      </c>
      <c r="K133" s="195"/>
      <c r="L133" s="27">
        <f t="shared" si="21"/>
        <v>359.16679126658551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3989453</v>
      </c>
      <c r="E134" s="1">
        <v>4007379</v>
      </c>
      <c r="F134" s="41">
        <f t="shared" si="17"/>
        <v>17.926000000000002</v>
      </c>
      <c r="G134" s="22">
        <f t="shared" si="18"/>
        <v>70.271531778589505</v>
      </c>
      <c r="H134" s="45">
        <f t="shared" si="19"/>
        <v>14.007504837813377</v>
      </c>
      <c r="I134" s="42">
        <f t="shared" si="20"/>
        <v>84.279036616402877</v>
      </c>
      <c r="J134" s="30">
        <f t="shared" si="22"/>
        <v>310</v>
      </c>
      <c r="K134" s="195"/>
      <c r="L134" s="27">
        <f t="shared" si="21"/>
        <v>394.27903661640289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1911874</v>
      </c>
      <c r="E135" s="1">
        <v>1918286</v>
      </c>
      <c r="F135" s="41">
        <f t="shared" si="17"/>
        <v>6.4119999999999999</v>
      </c>
      <c r="G135" s="22">
        <f t="shared" si="18"/>
        <v>25.135616521494804</v>
      </c>
      <c r="H135" s="45">
        <f t="shared" si="19"/>
        <v>14.007504837813377</v>
      </c>
      <c r="I135" s="42">
        <f t="shared" si="20"/>
        <v>39.143121359308182</v>
      </c>
      <c r="J135" s="30">
        <f t="shared" si="22"/>
        <v>310</v>
      </c>
      <c r="K135" s="195"/>
      <c r="L135" s="27">
        <f t="shared" si="21"/>
        <v>349.14312135930817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2014227</v>
      </c>
      <c r="E136" s="1">
        <v>2014227</v>
      </c>
      <c r="F136" s="41">
        <f t="shared" si="17"/>
        <v>0</v>
      </c>
      <c r="G136" s="22">
        <f t="shared" si="18"/>
        <v>0</v>
      </c>
      <c r="H136" s="45">
        <f t="shared" si="19"/>
        <v>14.007504837813377</v>
      </c>
      <c r="I136" s="42">
        <f t="shared" si="20"/>
        <v>14.007504837813377</v>
      </c>
      <c r="J136" s="30">
        <f t="shared" si="22"/>
        <v>310</v>
      </c>
      <c r="K136" s="195"/>
      <c r="L136" s="27">
        <f t="shared" si="21"/>
        <v>324.00750483781337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4491799</v>
      </c>
      <c r="E137" s="1">
        <v>4513655</v>
      </c>
      <c r="F137" s="41">
        <f t="shared" si="17"/>
        <v>21.856000000000002</v>
      </c>
      <c r="G137" s="22">
        <f t="shared" si="18"/>
        <v>85.677485136274257</v>
      </c>
      <c r="H137" s="45">
        <f t="shared" si="19"/>
        <v>14.007504837813377</v>
      </c>
      <c r="I137" s="42">
        <f t="shared" si="20"/>
        <v>99.684989974087628</v>
      </c>
      <c r="J137" s="30">
        <f t="shared" si="22"/>
        <v>310</v>
      </c>
      <c r="K137" s="195"/>
      <c r="L137" s="27">
        <f t="shared" si="21"/>
        <v>409.68498997408761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2457109</v>
      </c>
      <c r="E138" s="1">
        <v>2472573</v>
      </c>
      <c r="F138" s="41">
        <f t="shared" si="17"/>
        <v>15.464</v>
      </c>
      <c r="G138" s="22">
        <f t="shared" si="18"/>
        <v>60.620270413037382</v>
      </c>
      <c r="H138" s="45">
        <f t="shared" si="19"/>
        <v>14.007504837813377</v>
      </c>
      <c r="I138" s="42">
        <f t="shared" si="20"/>
        <v>74.62777525085076</v>
      </c>
      <c r="J138" s="30">
        <f t="shared" si="22"/>
        <v>310</v>
      </c>
      <c r="K138" s="195"/>
      <c r="L138" s="27">
        <f t="shared" si="21"/>
        <v>384.62777525085073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3092644</v>
      </c>
      <c r="E139" s="1">
        <v>3121567</v>
      </c>
      <c r="F139" s="41">
        <f t="shared" si="17"/>
        <v>28.923000000000002</v>
      </c>
      <c r="G139" s="22">
        <f t="shared" si="18"/>
        <v>113.38076055071652</v>
      </c>
      <c r="H139" s="45">
        <f t="shared" si="19"/>
        <v>14.007504837813377</v>
      </c>
      <c r="I139" s="42">
        <f t="shared" si="20"/>
        <v>127.38826538852989</v>
      </c>
      <c r="J139" s="30">
        <f t="shared" si="22"/>
        <v>310</v>
      </c>
      <c r="K139" s="195"/>
      <c r="L139" s="27">
        <f t="shared" si="21"/>
        <v>437.38826538852987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3024658</v>
      </c>
      <c r="E140" s="1">
        <v>3032138</v>
      </c>
      <c r="F140" s="41">
        <f t="shared" si="17"/>
        <v>7.48</v>
      </c>
      <c r="G140" s="22">
        <f t="shared" si="18"/>
        <v>29.322272548468675</v>
      </c>
      <c r="H140" s="45">
        <f t="shared" si="19"/>
        <v>14.007504837813377</v>
      </c>
      <c r="I140" s="42">
        <f t="shared" si="20"/>
        <v>43.329777386282053</v>
      </c>
      <c r="J140" s="30">
        <f t="shared" si="22"/>
        <v>310</v>
      </c>
      <c r="K140" s="195"/>
      <c r="L140" s="27">
        <f t="shared" si="21"/>
        <v>353.32977738628205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2997346</v>
      </c>
      <c r="E141" s="1">
        <v>3005456</v>
      </c>
      <c r="F141" s="41">
        <f t="shared" si="17"/>
        <v>8.11</v>
      </c>
      <c r="G141" s="22">
        <f t="shared" si="18"/>
        <v>31.791929193593706</v>
      </c>
      <c r="H141" s="45">
        <f t="shared" si="19"/>
        <v>14.007504837813377</v>
      </c>
      <c r="I141" s="42">
        <f t="shared" si="20"/>
        <v>45.799434031407081</v>
      </c>
      <c r="J141" s="30">
        <f t="shared" si="22"/>
        <v>310</v>
      </c>
      <c r="K141" s="195"/>
      <c r="L141" s="27">
        <f>SUM(I141,J141,K141)</f>
        <v>355.79943403140709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3065451</v>
      </c>
      <c r="E142" s="1">
        <v>3071296</v>
      </c>
      <c r="F142" s="41">
        <f t="shared" si="17"/>
        <v>5.8449999999999998</v>
      </c>
      <c r="G142" s="22">
        <f t="shared" si="18"/>
        <v>22.912925540882274</v>
      </c>
      <c r="H142" s="45">
        <f t="shared" si="19"/>
        <v>14.007504837813377</v>
      </c>
      <c r="I142" s="42">
        <f t="shared" si="20"/>
        <v>36.920430378695649</v>
      </c>
      <c r="J142" s="30">
        <f t="shared" si="22"/>
        <v>310</v>
      </c>
      <c r="K142" s="195"/>
      <c r="L142" s="27">
        <f t="shared" si="21"/>
        <v>346.92043037869564</v>
      </c>
    </row>
    <row r="143" spans="1:12" x14ac:dyDescent="0.45">
      <c r="A143" s="314"/>
      <c r="B143" s="5" t="s">
        <v>10</v>
      </c>
      <c r="C143" s="2">
        <v>101</v>
      </c>
      <c r="D143" s="1">
        <v>3705311</v>
      </c>
      <c r="E143" s="1">
        <v>3722623</v>
      </c>
      <c r="F143" s="41">
        <f t="shared" si="17"/>
        <v>17.312000000000001</v>
      </c>
      <c r="G143" s="22">
        <f t="shared" si="18"/>
        <v>67.864596572070823</v>
      </c>
      <c r="H143" s="45">
        <f t="shared" si="19"/>
        <v>14.007504837813377</v>
      </c>
      <c r="I143" s="42">
        <f t="shared" si="20"/>
        <v>81.872101409884195</v>
      </c>
      <c r="J143" s="30">
        <f t="shared" si="22"/>
        <v>310</v>
      </c>
      <c r="K143" s="195"/>
      <c r="L143" s="27">
        <f t="shared" si="21"/>
        <v>391.87210140988418</v>
      </c>
    </row>
    <row r="144" spans="1:12" x14ac:dyDescent="0.45">
      <c r="A144" s="314"/>
      <c r="B144" s="5" t="s">
        <v>10</v>
      </c>
      <c r="C144" s="2">
        <v>102</v>
      </c>
      <c r="D144" s="1">
        <v>3512</v>
      </c>
      <c r="E144" s="1">
        <v>7161</v>
      </c>
      <c r="F144" s="41">
        <f t="shared" si="17"/>
        <v>3.649</v>
      </c>
      <c r="G144" s="22">
        <f t="shared" si="18"/>
        <v>14.30440809216072</v>
      </c>
      <c r="H144" s="45">
        <f t="shared" si="19"/>
        <v>14.007504837813377</v>
      </c>
      <c r="I144" s="42">
        <f t="shared" si="20"/>
        <v>28.311912929974099</v>
      </c>
      <c r="J144" s="30">
        <f t="shared" si="22"/>
        <v>310</v>
      </c>
      <c r="K144" s="195"/>
      <c r="L144" s="27">
        <f t="shared" si="21"/>
        <v>338.31191292997408</v>
      </c>
    </row>
    <row r="145" spans="1:12" x14ac:dyDescent="0.45">
      <c r="A145" s="314"/>
      <c r="B145" s="5" t="s">
        <v>10</v>
      </c>
      <c r="C145" s="2">
        <v>103</v>
      </c>
      <c r="D145" s="1">
        <v>3960522</v>
      </c>
      <c r="E145" s="1">
        <v>3969517</v>
      </c>
      <c r="F145" s="41">
        <f t="shared" si="17"/>
        <v>8.995000000000001</v>
      </c>
      <c r="G145" s="22">
        <f t="shared" si="18"/>
        <v>35.261208766507451</v>
      </c>
      <c r="H145" s="45">
        <f t="shared" si="19"/>
        <v>14.007504837813377</v>
      </c>
      <c r="I145" s="42">
        <f t="shared" si="20"/>
        <v>49.26871360432083</v>
      </c>
      <c r="J145" s="30">
        <f t="shared" si="22"/>
        <v>310</v>
      </c>
      <c r="K145" s="195"/>
      <c r="L145" s="27">
        <f t="shared" si="21"/>
        <v>359.26871360432085</v>
      </c>
    </row>
    <row r="146" spans="1:12" x14ac:dyDescent="0.45">
      <c r="A146" s="314"/>
      <c r="B146" s="5" t="s">
        <v>10</v>
      </c>
      <c r="C146" s="2">
        <v>104</v>
      </c>
      <c r="D146" s="1">
        <v>2968249</v>
      </c>
      <c r="E146" s="1">
        <v>2981947</v>
      </c>
      <c r="F146" s="41">
        <f t="shared" si="17"/>
        <v>13.698</v>
      </c>
      <c r="G146" s="22">
        <f t="shared" si="18"/>
        <v>53.697391626861489</v>
      </c>
      <c r="H146" s="45">
        <f t="shared" si="19"/>
        <v>14.007504837813377</v>
      </c>
      <c r="I146" s="42">
        <f t="shared" si="20"/>
        <v>67.70489646467486</v>
      </c>
      <c r="J146" s="30">
        <f t="shared" si="22"/>
        <v>310</v>
      </c>
      <c r="K146" s="195"/>
      <c r="L146" s="27">
        <f t="shared" si="21"/>
        <v>377.70489646467485</v>
      </c>
    </row>
    <row r="147" spans="1:12" x14ac:dyDescent="0.45">
      <c r="A147" s="314"/>
      <c r="B147" s="5" t="s">
        <v>10</v>
      </c>
      <c r="C147" s="2">
        <v>201</v>
      </c>
      <c r="D147" s="1">
        <v>5363846</v>
      </c>
      <c r="E147" s="1">
        <v>5402031</v>
      </c>
      <c r="F147" s="41">
        <f t="shared" si="17"/>
        <v>38.185000000000002</v>
      </c>
      <c r="G147" s="22">
        <f t="shared" si="18"/>
        <v>149.68863332396742</v>
      </c>
      <c r="H147" s="45">
        <f t="shared" si="19"/>
        <v>14.007504837813377</v>
      </c>
      <c r="I147" s="42">
        <f t="shared" si="20"/>
        <v>163.69613816178079</v>
      </c>
      <c r="J147" s="30">
        <f t="shared" si="22"/>
        <v>310</v>
      </c>
      <c r="K147" s="195"/>
      <c r="L147" s="27">
        <f t="shared" si="21"/>
        <v>473.69613816178082</v>
      </c>
    </row>
    <row r="148" spans="1:12" x14ac:dyDescent="0.45">
      <c r="A148" s="314"/>
      <c r="B148" s="5" t="s">
        <v>10</v>
      </c>
      <c r="C148" s="2">
        <v>202</v>
      </c>
      <c r="D148" s="1">
        <v>3412139</v>
      </c>
      <c r="E148" s="1">
        <v>3416664</v>
      </c>
      <c r="F148" s="41">
        <f t="shared" si="17"/>
        <v>4.5250000000000004</v>
      </c>
      <c r="G148" s="22">
        <f t="shared" si="18"/>
        <v>17.73840685585839</v>
      </c>
      <c r="H148" s="45">
        <f t="shared" si="19"/>
        <v>14.007504837813377</v>
      </c>
      <c r="I148" s="42">
        <f t="shared" si="20"/>
        <v>31.745911693671765</v>
      </c>
      <c r="J148" s="30">
        <f t="shared" si="22"/>
        <v>310</v>
      </c>
      <c r="K148" s="195"/>
      <c r="L148" s="27">
        <f t="shared" si="21"/>
        <v>341.74591169367176</v>
      </c>
    </row>
    <row r="149" spans="1:12" x14ac:dyDescent="0.45">
      <c r="A149" s="314"/>
      <c r="B149" s="5" t="s">
        <v>10</v>
      </c>
      <c r="C149" s="2">
        <v>203</v>
      </c>
      <c r="D149" s="1">
        <v>3444051</v>
      </c>
      <c r="E149" s="1">
        <v>3457111</v>
      </c>
      <c r="F149" s="41">
        <f t="shared" si="17"/>
        <v>13.06</v>
      </c>
      <c r="G149" s="22">
        <f t="shared" si="18"/>
        <v>51.196374262433274</v>
      </c>
      <c r="H149" s="45">
        <f t="shared" si="19"/>
        <v>14.007504837813377</v>
      </c>
      <c r="I149" s="42">
        <f t="shared" si="20"/>
        <v>65.203879100246652</v>
      </c>
      <c r="J149" s="30">
        <f t="shared" si="22"/>
        <v>310</v>
      </c>
      <c r="K149" s="195"/>
      <c r="L149" s="27">
        <f t="shared" si="21"/>
        <v>375.20387910024664</v>
      </c>
    </row>
    <row r="150" spans="1:12" x14ac:dyDescent="0.45">
      <c r="A150" s="314"/>
      <c r="B150" s="5" t="s">
        <v>10</v>
      </c>
      <c r="C150" s="2">
        <v>204</v>
      </c>
      <c r="D150" s="1">
        <v>1915811</v>
      </c>
      <c r="E150" s="1">
        <v>1915964</v>
      </c>
      <c r="F150" s="41">
        <f t="shared" si="17"/>
        <v>0.153</v>
      </c>
      <c r="G150" s="22">
        <f t="shared" si="18"/>
        <v>0.59977375667322286</v>
      </c>
      <c r="H150" s="45">
        <f t="shared" si="19"/>
        <v>14.007504837813377</v>
      </c>
      <c r="I150" s="42">
        <f t="shared" si="20"/>
        <v>14.607278594486599</v>
      </c>
      <c r="J150" s="30">
        <f t="shared" si="22"/>
        <v>310</v>
      </c>
      <c r="K150" s="195"/>
      <c r="L150" s="27">
        <f t="shared" si="21"/>
        <v>324.60727859448662</v>
      </c>
    </row>
    <row r="151" spans="1:12" x14ac:dyDescent="0.45">
      <c r="A151" s="314"/>
      <c r="B151" s="5" t="s">
        <v>10</v>
      </c>
      <c r="C151" s="2">
        <v>301</v>
      </c>
      <c r="D151" s="1">
        <v>2354952</v>
      </c>
      <c r="E151" s="1">
        <v>2366987</v>
      </c>
      <c r="F151" s="41">
        <f t="shared" si="17"/>
        <v>12.035</v>
      </c>
      <c r="G151" s="22">
        <f t="shared" si="18"/>
        <v>47.178282101713968</v>
      </c>
      <c r="H151" s="45">
        <f t="shared" si="19"/>
        <v>14.007504837813377</v>
      </c>
      <c r="I151" s="42">
        <f t="shared" si="20"/>
        <v>61.185786939527347</v>
      </c>
      <c r="J151" s="30">
        <f t="shared" si="22"/>
        <v>310</v>
      </c>
      <c r="K151" s="195"/>
      <c r="L151" s="27">
        <f t="shared" si="21"/>
        <v>371.18578693952736</v>
      </c>
    </row>
    <row r="152" spans="1:12" x14ac:dyDescent="0.45">
      <c r="A152" s="314"/>
      <c r="B152" s="5" t="s">
        <v>10</v>
      </c>
      <c r="C152" s="2">
        <v>302</v>
      </c>
      <c r="D152" s="1">
        <v>4217922</v>
      </c>
      <c r="E152" s="1">
        <v>4233920</v>
      </c>
      <c r="F152" s="41">
        <f t="shared" si="17"/>
        <v>15.998000000000001</v>
      </c>
      <c r="G152" s="22">
        <f t="shared" si="18"/>
        <v>62.713598426524314</v>
      </c>
      <c r="H152" s="45">
        <f t="shared" si="19"/>
        <v>14.007504837813377</v>
      </c>
      <c r="I152" s="42">
        <f t="shared" si="20"/>
        <v>76.721103264337685</v>
      </c>
      <c r="J152" s="30">
        <f t="shared" si="22"/>
        <v>310</v>
      </c>
      <c r="K152" s="195"/>
      <c r="L152" s="27">
        <f t="shared" si="21"/>
        <v>386.72110326433767</v>
      </c>
    </row>
    <row r="153" spans="1:12" x14ac:dyDescent="0.45">
      <c r="A153" s="314"/>
      <c r="B153" s="5" t="s">
        <v>10</v>
      </c>
      <c r="C153" s="2">
        <v>303</v>
      </c>
      <c r="D153" s="1">
        <v>2647431</v>
      </c>
      <c r="E153" s="1">
        <v>2653808</v>
      </c>
      <c r="F153" s="41">
        <f t="shared" si="17"/>
        <v>6.3769999999999998</v>
      </c>
      <c r="G153" s="22">
        <f t="shared" si="18"/>
        <v>24.998413374543414</v>
      </c>
      <c r="H153" s="45">
        <f t="shared" si="19"/>
        <v>14.007504837813377</v>
      </c>
      <c r="I153" s="42">
        <f t="shared" si="20"/>
        <v>39.005918212356789</v>
      </c>
      <c r="J153" s="30">
        <f t="shared" si="22"/>
        <v>310</v>
      </c>
      <c r="K153" s="195"/>
      <c r="L153" s="27">
        <f>SUM(I153,J153,K153)</f>
        <v>349.00591821235679</v>
      </c>
    </row>
    <row r="154" spans="1:12" x14ac:dyDescent="0.45">
      <c r="A154" s="314"/>
      <c r="B154" s="5" t="s">
        <v>10</v>
      </c>
      <c r="C154" s="2">
        <v>304</v>
      </c>
      <c r="D154" s="1">
        <v>22312</v>
      </c>
      <c r="E154" s="1">
        <v>41023</v>
      </c>
      <c r="F154" s="41">
        <f t="shared" si="17"/>
        <v>18.711000000000002</v>
      </c>
      <c r="G154" s="22">
        <f t="shared" si="18"/>
        <v>73.348802360213554</v>
      </c>
      <c r="H154" s="45">
        <f t="shared" si="19"/>
        <v>14.007504837813377</v>
      </c>
      <c r="I154" s="42">
        <f t="shared" si="20"/>
        <v>87.356307198026926</v>
      </c>
      <c r="J154" s="30">
        <f t="shared" si="22"/>
        <v>310</v>
      </c>
      <c r="K154" s="195">
        <v>300</v>
      </c>
      <c r="L154" s="27">
        <f t="shared" si="21"/>
        <v>697.35630719802691</v>
      </c>
    </row>
    <row r="155" spans="1:12" x14ac:dyDescent="0.45">
      <c r="A155" s="314"/>
      <c r="B155" s="5" t="s">
        <v>10</v>
      </c>
      <c r="C155" s="2">
        <v>401</v>
      </c>
      <c r="D155" s="1">
        <v>4957131</v>
      </c>
      <c r="E155" s="1">
        <v>4984269</v>
      </c>
      <c r="F155" s="41">
        <f t="shared" si="17"/>
        <v>27.138000000000002</v>
      </c>
      <c r="G155" s="22">
        <f t="shared" si="18"/>
        <v>106.38340005619558</v>
      </c>
      <c r="H155" s="45">
        <f t="shared" si="19"/>
        <v>14.007504837813377</v>
      </c>
      <c r="I155" s="42">
        <f t="shared" si="20"/>
        <v>120.39090489400895</v>
      </c>
      <c r="J155" s="30">
        <f t="shared" si="22"/>
        <v>310</v>
      </c>
      <c r="K155" s="195">
        <v>10</v>
      </c>
      <c r="L155" s="27">
        <f t="shared" si="21"/>
        <v>440.39090489400894</v>
      </c>
    </row>
    <row r="156" spans="1:12" x14ac:dyDescent="0.45">
      <c r="A156" s="314"/>
      <c r="B156" s="5" t="s">
        <v>10</v>
      </c>
      <c r="C156" s="2">
        <v>402</v>
      </c>
      <c r="D156" s="1">
        <v>3765098</v>
      </c>
      <c r="E156" s="1">
        <v>3782561</v>
      </c>
      <c r="F156" s="41">
        <f t="shared" si="17"/>
        <v>17.463000000000001</v>
      </c>
      <c r="G156" s="22">
        <f t="shared" si="18"/>
        <v>68.456530148918247</v>
      </c>
      <c r="H156" s="45">
        <f t="shared" si="19"/>
        <v>14.007504837813377</v>
      </c>
      <c r="I156" s="42">
        <f t="shared" si="20"/>
        <v>82.464034986731619</v>
      </c>
      <c r="J156" s="30">
        <f t="shared" si="22"/>
        <v>310</v>
      </c>
      <c r="K156" s="195"/>
      <c r="L156" s="27">
        <f t="shared" si="21"/>
        <v>392.46403498673163</v>
      </c>
    </row>
    <row r="157" spans="1:12" x14ac:dyDescent="0.45">
      <c r="A157" s="314"/>
      <c r="B157" s="5" t="s">
        <v>10</v>
      </c>
      <c r="C157" s="2">
        <v>403</v>
      </c>
      <c r="D157" s="1">
        <v>48470</v>
      </c>
      <c r="E157" s="1">
        <v>79711</v>
      </c>
      <c r="F157" s="41">
        <f t="shared" si="17"/>
        <v>31.241</v>
      </c>
      <c r="G157" s="22">
        <f t="shared" si="18"/>
        <v>122.46752896881148</v>
      </c>
      <c r="H157" s="45">
        <f t="shared" si="19"/>
        <v>14.007504837813377</v>
      </c>
      <c r="I157" s="42">
        <f t="shared" si="20"/>
        <v>136.47503380662485</v>
      </c>
      <c r="J157" s="30">
        <f t="shared" si="22"/>
        <v>310</v>
      </c>
      <c r="K157" s="195"/>
      <c r="L157" s="27">
        <f t="shared" si="21"/>
        <v>446.47503380662488</v>
      </c>
    </row>
    <row r="158" spans="1:12" x14ac:dyDescent="0.45">
      <c r="A158" s="314"/>
      <c r="B158" s="5" t="s">
        <v>10</v>
      </c>
      <c r="C158" s="2">
        <v>404</v>
      </c>
      <c r="D158" s="1">
        <v>98342</v>
      </c>
      <c r="E158" s="1">
        <v>116961</v>
      </c>
      <c r="F158" s="41">
        <f>(E158-D158)*$N$1</f>
        <v>18.619</v>
      </c>
      <c r="G158" s="22">
        <f t="shared" si="18"/>
        <v>72.988154088227034</v>
      </c>
      <c r="H158" s="45">
        <f t="shared" si="19"/>
        <v>14.007504837813377</v>
      </c>
      <c r="I158" s="42">
        <f t="shared" si="20"/>
        <v>86.995658926040406</v>
      </c>
      <c r="J158" s="30">
        <f t="shared" si="22"/>
        <v>310</v>
      </c>
      <c r="K158" s="195"/>
      <c r="L158" s="27">
        <f>SUM(I158,J158,K158)</f>
        <v>396.99565892604039</v>
      </c>
    </row>
    <row r="159" spans="1:12" x14ac:dyDescent="0.45">
      <c r="A159" s="314"/>
      <c r="B159" s="5" t="s">
        <v>10</v>
      </c>
      <c r="C159" s="2">
        <v>501</v>
      </c>
      <c r="D159" s="1">
        <v>172562</v>
      </c>
      <c r="E159" s="1">
        <v>203717</v>
      </c>
      <c r="F159" s="41">
        <f t="shared" si="17"/>
        <v>31.155000000000001</v>
      </c>
      <c r="G159" s="22">
        <f t="shared" si="18"/>
        <v>122.13040123630235</v>
      </c>
      <c r="H159" s="45">
        <f t="shared" si="19"/>
        <v>14.007504837813377</v>
      </c>
      <c r="I159" s="42">
        <f t="shared" si="20"/>
        <v>136.13790607411573</v>
      </c>
      <c r="J159" s="30">
        <f t="shared" si="22"/>
        <v>310</v>
      </c>
      <c r="K159" s="195"/>
      <c r="L159" s="27">
        <f>SUM(I159,J159,K159)</f>
        <v>446.13790607411573</v>
      </c>
    </row>
    <row r="160" spans="1:12" x14ac:dyDescent="0.45">
      <c r="A160" s="314"/>
      <c r="B160" s="5" t="s">
        <v>10</v>
      </c>
      <c r="C160" s="2">
        <v>502</v>
      </c>
      <c r="D160" s="1">
        <v>2767901</v>
      </c>
      <c r="E160" s="1">
        <v>2784892</v>
      </c>
      <c r="F160" s="41">
        <f t="shared" si="17"/>
        <v>16.991</v>
      </c>
      <c r="G160" s="22">
        <f t="shared" si="18"/>
        <v>66.606247710030914</v>
      </c>
      <c r="H160" s="45">
        <f t="shared" si="19"/>
        <v>14.007504837813377</v>
      </c>
      <c r="I160" s="42">
        <f t="shared" si="20"/>
        <v>80.613752547844285</v>
      </c>
      <c r="J160" s="30">
        <f t="shared" si="22"/>
        <v>310</v>
      </c>
      <c r="K160" s="195"/>
      <c r="L160" s="27">
        <f t="shared" si="21"/>
        <v>390.61375254784429</v>
      </c>
    </row>
    <row r="161" spans="1:12" x14ac:dyDescent="0.45">
      <c r="A161" s="314"/>
      <c r="B161" s="5" t="s">
        <v>10</v>
      </c>
      <c r="C161" s="2">
        <v>503</v>
      </c>
      <c r="D161" s="1">
        <v>3756605</v>
      </c>
      <c r="E161" s="1">
        <v>3772799</v>
      </c>
      <c r="F161" s="41">
        <f t="shared" si="17"/>
        <v>16.193999999999999</v>
      </c>
      <c r="G161" s="22">
        <f t="shared" si="18"/>
        <v>63.481936049452095</v>
      </c>
      <c r="H161" s="45">
        <f t="shared" si="19"/>
        <v>14.007504837813377</v>
      </c>
      <c r="I161" s="42">
        <f t="shared" si="20"/>
        <v>77.489440887265474</v>
      </c>
      <c r="J161" s="30">
        <f t="shared" si="22"/>
        <v>310</v>
      </c>
      <c r="K161" s="195"/>
      <c r="L161" s="27">
        <f t="shared" si="21"/>
        <v>387.48944088726546</v>
      </c>
    </row>
    <row r="162" spans="1:12" x14ac:dyDescent="0.45">
      <c r="A162" s="314"/>
      <c r="B162" s="5" t="s">
        <v>10</v>
      </c>
      <c r="C162" s="2">
        <v>504</v>
      </c>
      <c r="D162" s="1">
        <v>3589590</v>
      </c>
      <c r="E162" s="1">
        <v>3609800</v>
      </c>
      <c r="F162" s="41">
        <f t="shared" si="17"/>
        <v>20.21</v>
      </c>
      <c r="G162" s="22">
        <f t="shared" si="18"/>
        <v>79.225017139645985</v>
      </c>
      <c r="H162" s="45">
        <f t="shared" si="19"/>
        <v>14.007504837813377</v>
      </c>
      <c r="I162" s="42">
        <f t="shared" si="20"/>
        <v>93.232521977459356</v>
      </c>
      <c r="J162" s="30">
        <f t="shared" si="22"/>
        <v>310</v>
      </c>
      <c r="K162" s="195"/>
      <c r="L162" s="27">
        <f t="shared" si="21"/>
        <v>403.23252197745933</v>
      </c>
    </row>
    <row r="163" spans="1:12" x14ac:dyDescent="0.45">
      <c r="A163" s="318"/>
      <c r="B163" s="5" t="s">
        <v>11</v>
      </c>
      <c r="C163" s="2">
        <v>101</v>
      </c>
      <c r="D163" s="1">
        <v>3035279</v>
      </c>
      <c r="E163" s="1">
        <v>3054094</v>
      </c>
      <c r="F163" s="41">
        <f t="shared" si="17"/>
        <v>18.815000000000001</v>
      </c>
      <c r="G163" s="22">
        <f t="shared" si="18"/>
        <v>73.756491711154837</v>
      </c>
      <c r="H163" s="45">
        <f t="shared" si="19"/>
        <v>14.007504837813377</v>
      </c>
      <c r="I163" s="42">
        <f t="shared" si="20"/>
        <v>87.763996548968208</v>
      </c>
      <c r="J163" s="30">
        <f t="shared" si="22"/>
        <v>310</v>
      </c>
      <c r="K163" s="195"/>
      <c r="L163" s="27">
        <f t="shared" si="21"/>
        <v>397.76399654896818</v>
      </c>
    </row>
    <row r="164" spans="1:12" x14ac:dyDescent="0.45">
      <c r="A164" s="318"/>
      <c r="B164" s="5" t="s">
        <v>11</v>
      </c>
      <c r="C164" s="2">
        <v>102</v>
      </c>
      <c r="D164" s="1">
        <v>2775866</v>
      </c>
      <c r="E164" s="1">
        <v>2798528</v>
      </c>
      <c r="F164" s="41">
        <f t="shared" si="17"/>
        <v>22.661999999999999</v>
      </c>
      <c r="G164" s="22">
        <f t="shared" si="18"/>
        <v>88.83707760606913</v>
      </c>
      <c r="H164" s="45">
        <f t="shared" si="19"/>
        <v>14.007504837813377</v>
      </c>
      <c r="I164" s="42">
        <f t="shared" si="20"/>
        <v>102.8445824438825</v>
      </c>
      <c r="J164" s="30">
        <f t="shared" si="22"/>
        <v>310</v>
      </c>
      <c r="K164" s="195"/>
      <c r="L164" s="27">
        <f t="shared" si="21"/>
        <v>412.84458244388247</v>
      </c>
    </row>
    <row r="165" spans="1:12" x14ac:dyDescent="0.45">
      <c r="A165" s="318"/>
      <c r="B165" s="5" t="s">
        <v>11</v>
      </c>
      <c r="C165" s="2">
        <v>103</v>
      </c>
      <c r="D165" s="1">
        <v>2378022</v>
      </c>
      <c r="E165" s="1">
        <v>2386467</v>
      </c>
      <c r="F165" s="41">
        <f t="shared" si="17"/>
        <v>8.4450000000000003</v>
      </c>
      <c r="G165" s="22">
        <f t="shared" si="18"/>
        <v>33.105159314414166</v>
      </c>
      <c r="H165" s="45">
        <f t="shared" si="19"/>
        <v>14.007504837813377</v>
      </c>
      <c r="I165" s="42">
        <f t="shared" si="20"/>
        <v>47.112664152227545</v>
      </c>
      <c r="J165" s="30">
        <f t="shared" si="22"/>
        <v>310</v>
      </c>
      <c r="K165" s="195"/>
      <c r="L165" s="27">
        <f t="shared" si="21"/>
        <v>357.11266415222752</v>
      </c>
    </row>
    <row r="166" spans="1:12" x14ac:dyDescent="0.45">
      <c r="A166" s="318"/>
      <c r="B166" s="5" t="s">
        <v>11</v>
      </c>
      <c r="C166" s="2">
        <v>104</v>
      </c>
      <c r="D166" s="1">
        <v>2827466</v>
      </c>
      <c r="E166" s="1">
        <v>2866024</v>
      </c>
      <c r="F166" s="41">
        <f t="shared" si="17"/>
        <v>38.558</v>
      </c>
      <c r="G166" s="22">
        <f t="shared" si="18"/>
        <v>151.15082686147795</v>
      </c>
      <c r="H166" s="45">
        <f t="shared" si="19"/>
        <v>14.007504837813377</v>
      </c>
      <c r="I166" s="42">
        <f t="shared" si="20"/>
        <v>165.15833169929132</v>
      </c>
      <c r="J166" s="30">
        <f t="shared" si="22"/>
        <v>310</v>
      </c>
      <c r="K166" s="195">
        <v>10</v>
      </c>
      <c r="L166" s="27">
        <f t="shared" si="21"/>
        <v>485.15833169929135</v>
      </c>
    </row>
    <row r="167" spans="1:12" x14ac:dyDescent="0.45">
      <c r="A167" s="318"/>
      <c r="B167" s="5" t="s">
        <v>11</v>
      </c>
      <c r="C167" s="2">
        <v>201</v>
      </c>
      <c r="D167" s="1">
        <v>2115244</v>
      </c>
      <c r="E167" s="1">
        <v>2132655</v>
      </c>
      <c r="F167" s="41">
        <f t="shared" si="17"/>
        <v>17.411000000000001</v>
      </c>
      <c r="G167" s="22">
        <f t="shared" si="18"/>
        <v>68.252685473447613</v>
      </c>
      <c r="H167" s="45">
        <f t="shared" si="19"/>
        <v>14.007504837813377</v>
      </c>
      <c r="I167" s="42">
        <f t="shared" si="20"/>
        <v>82.260190311260985</v>
      </c>
      <c r="J167" s="30">
        <f t="shared" si="22"/>
        <v>310</v>
      </c>
      <c r="K167" s="195"/>
      <c r="L167" s="27">
        <f t="shared" si="21"/>
        <v>392.260190311261</v>
      </c>
    </row>
    <row r="168" spans="1:12" x14ac:dyDescent="0.45">
      <c r="A168" s="318"/>
      <c r="B168" s="5" t="s">
        <v>11</v>
      </c>
      <c r="C168" s="2">
        <v>202</v>
      </c>
      <c r="D168" s="1">
        <v>148932</v>
      </c>
      <c r="E168" s="1">
        <v>171330</v>
      </c>
      <c r="F168" s="41">
        <f t="shared" si="17"/>
        <v>22.398</v>
      </c>
      <c r="G168" s="22">
        <f t="shared" si="18"/>
        <v>87.802173869064347</v>
      </c>
      <c r="H168" s="45">
        <f t="shared" si="19"/>
        <v>14.007504837813377</v>
      </c>
      <c r="I168" s="42">
        <f t="shared" si="20"/>
        <v>101.80967870687772</v>
      </c>
      <c r="J168" s="30">
        <f t="shared" si="22"/>
        <v>310</v>
      </c>
      <c r="K168" s="195">
        <v>10</v>
      </c>
      <c r="L168" s="27">
        <f t="shared" si="21"/>
        <v>421.80967870687772</v>
      </c>
    </row>
    <row r="169" spans="1:12" x14ac:dyDescent="0.45">
      <c r="A169" s="318"/>
      <c r="B169" s="5" t="s">
        <v>11</v>
      </c>
      <c r="C169" s="2">
        <v>203</v>
      </c>
      <c r="D169" s="1">
        <v>2741973</v>
      </c>
      <c r="E169" s="1">
        <v>2754605</v>
      </c>
      <c r="F169" s="41">
        <f t="shared" si="17"/>
        <v>12.632</v>
      </c>
      <c r="G169" s="22">
        <f t="shared" si="18"/>
        <v>49.518575779713409</v>
      </c>
      <c r="H169" s="45">
        <f t="shared" si="19"/>
        <v>14.007504837813377</v>
      </c>
      <c r="I169" s="42">
        <f t="shared" si="20"/>
        <v>63.526080617526787</v>
      </c>
      <c r="J169" s="30">
        <f t="shared" si="22"/>
        <v>310</v>
      </c>
      <c r="K169" s="195"/>
      <c r="L169" s="27">
        <f t="shared" si="21"/>
        <v>373.52608061752676</v>
      </c>
    </row>
    <row r="170" spans="1:12" x14ac:dyDescent="0.45">
      <c r="A170" s="318"/>
      <c r="B170" s="5" t="s">
        <v>11</v>
      </c>
      <c r="C170" s="2">
        <v>204</v>
      </c>
      <c r="D170" s="1">
        <v>2337919</v>
      </c>
      <c r="E170" s="1">
        <v>2361695</v>
      </c>
      <c r="F170" s="41">
        <f t="shared" si="17"/>
        <v>23.776</v>
      </c>
      <c r="G170" s="22">
        <f t="shared" si="18"/>
        <v>93.204057769036254</v>
      </c>
      <c r="H170" s="45">
        <f t="shared" si="19"/>
        <v>14.007504837813377</v>
      </c>
      <c r="I170" s="42">
        <f t="shared" si="20"/>
        <v>107.21156260684963</v>
      </c>
      <c r="J170" s="30">
        <f t="shared" si="22"/>
        <v>310</v>
      </c>
      <c r="K170" s="195"/>
      <c r="L170" s="27">
        <f t="shared" si="21"/>
        <v>417.21156260684961</v>
      </c>
    </row>
    <row r="171" spans="1:12" x14ac:dyDescent="0.45">
      <c r="A171" s="318"/>
      <c r="B171" s="5" t="s">
        <v>11</v>
      </c>
      <c r="C171" s="2">
        <v>301</v>
      </c>
      <c r="D171" s="1">
        <v>3387042</v>
      </c>
      <c r="E171" s="1">
        <v>3400259</v>
      </c>
      <c r="F171" s="41">
        <f t="shared" si="17"/>
        <v>13.217000000000001</v>
      </c>
      <c r="G171" s="22">
        <f t="shared" si="18"/>
        <v>51.811828378758086</v>
      </c>
      <c r="H171" s="45">
        <f t="shared" si="19"/>
        <v>14.007504837813377</v>
      </c>
      <c r="I171" s="42">
        <f t="shared" si="20"/>
        <v>65.819333216571465</v>
      </c>
      <c r="J171" s="30">
        <f t="shared" si="22"/>
        <v>310</v>
      </c>
      <c r="K171" s="195"/>
      <c r="L171" s="27">
        <f t="shared" si="21"/>
        <v>375.81933321657147</v>
      </c>
    </row>
    <row r="172" spans="1:12" x14ac:dyDescent="0.45">
      <c r="A172" s="318"/>
      <c r="B172" s="5" t="s">
        <v>11</v>
      </c>
      <c r="C172" s="2">
        <v>302</v>
      </c>
      <c r="D172" s="1">
        <v>2699864</v>
      </c>
      <c r="E172" s="1">
        <v>2710359</v>
      </c>
      <c r="F172" s="41">
        <f t="shared" si="17"/>
        <v>10.495000000000001</v>
      </c>
      <c r="G172" s="22">
        <f t="shared" si="18"/>
        <v>41.141343635852778</v>
      </c>
      <c r="H172" s="45">
        <f t="shared" si="19"/>
        <v>14.007504837813377</v>
      </c>
      <c r="I172" s="42">
        <f t="shared" si="20"/>
        <v>55.148848473666156</v>
      </c>
      <c r="J172" s="30">
        <f t="shared" si="22"/>
        <v>310</v>
      </c>
      <c r="K172" s="195">
        <v>10</v>
      </c>
      <c r="L172" s="27">
        <f t="shared" si="21"/>
        <v>375.14884847366613</v>
      </c>
    </row>
    <row r="173" spans="1:12" x14ac:dyDescent="0.45">
      <c r="A173" s="318"/>
      <c r="B173" s="5" t="s">
        <v>11</v>
      </c>
      <c r="C173" s="2">
        <v>303</v>
      </c>
      <c r="D173" s="1">
        <v>2485783</v>
      </c>
      <c r="E173" s="1">
        <v>2500348</v>
      </c>
      <c r="F173" s="41">
        <f t="shared" si="17"/>
        <v>14.565</v>
      </c>
      <c r="G173" s="22">
        <f t="shared" si="18"/>
        <v>57.096109581343079</v>
      </c>
      <c r="H173" s="45">
        <f t="shared" si="19"/>
        <v>14.007504837813377</v>
      </c>
      <c r="I173" s="42">
        <f t="shared" si="20"/>
        <v>71.103614419156457</v>
      </c>
      <c r="J173" s="30">
        <f t="shared" si="22"/>
        <v>310</v>
      </c>
      <c r="K173" s="195"/>
      <c r="L173" s="27">
        <f t="shared" si="21"/>
        <v>381.10361441915643</v>
      </c>
    </row>
    <row r="174" spans="1:12" x14ac:dyDescent="0.45">
      <c r="A174" s="318"/>
      <c r="B174" s="5" t="s">
        <v>11</v>
      </c>
      <c r="C174" s="2">
        <v>304</v>
      </c>
      <c r="D174" s="1">
        <v>5345069</v>
      </c>
      <c r="E174" s="1">
        <v>5357331</v>
      </c>
      <c r="F174" s="41">
        <f t="shared" si="17"/>
        <v>12.262</v>
      </c>
      <c r="G174" s="22">
        <f t="shared" si="18"/>
        <v>48.068142511941566</v>
      </c>
      <c r="H174" s="45">
        <f t="shared" si="19"/>
        <v>14.007504837813377</v>
      </c>
      <c r="I174" s="42">
        <f t="shared" si="20"/>
        <v>62.075647349754945</v>
      </c>
      <c r="J174" s="30">
        <f t="shared" si="22"/>
        <v>310</v>
      </c>
      <c r="K174" s="195"/>
      <c r="L174" s="27">
        <f t="shared" si="21"/>
        <v>372.07564734975495</v>
      </c>
    </row>
    <row r="175" spans="1:12" x14ac:dyDescent="0.45">
      <c r="A175" s="318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14.007504837813377</v>
      </c>
      <c r="I175" s="42">
        <f t="shared" si="20"/>
        <v>14.007504837813377</v>
      </c>
      <c r="J175" s="30">
        <f t="shared" si="22"/>
        <v>310</v>
      </c>
      <c r="K175" s="195">
        <v>10</v>
      </c>
      <c r="L175" s="27">
        <f t="shared" si="21"/>
        <v>334.00750483781337</v>
      </c>
    </row>
    <row r="176" spans="1:12" x14ac:dyDescent="0.45">
      <c r="A176" s="318"/>
      <c r="B176" s="5" t="s">
        <v>11</v>
      </c>
      <c r="C176" s="2">
        <v>402</v>
      </c>
      <c r="D176" s="1">
        <v>2004501</v>
      </c>
      <c r="E176" s="1">
        <v>2012784</v>
      </c>
      <c r="F176" s="41">
        <f t="shared" si="17"/>
        <v>8.2829999999999995</v>
      </c>
      <c r="G176" s="22">
        <f t="shared" si="18"/>
        <v>32.470104748524868</v>
      </c>
      <c r="H176" s="45">
        <f t="shared" si="19"/>
        <v>14.007504837813377</v>
      </c>
      <c r="I176" s="42">
        <f t="shared" si="20"/>
        <v>46.477609586338247</v>
      </c>
      <c r="J176" s="30">
        <f t="shared" si="22"/>
        <v>310</v>
      </c>
      <c r="K176" s="195"/>
      <c r="L176" s="27">
        <f t="shared" si="21"/>
        <v>356.47760958633825</v>
      </c>
    </row>
    <row r="177" spans="1:16" x14ac:dyDescent="0.45">
      <c r="A177" s="318"/>
      <c r="B177" s="5" t="s">
        <v>11</v>
      </c>
      <c r="C177" s="2">
        <v>403</v>
      </c>
      <c r="D177" s="1">
        <v>3236791</v>
      </c>
      <c r="E177" s="1">
        <v>3252996</v>
      </c>
      <c r="F177" s="41">
        <f t="shared" si="17"/>
        <v>16.205000000000002</v>
      </c>
      <c r="G177" s="22">
        <f t="shared" si="18"/>
        <v>63.525057038493976</v>
      </c>
      <c r="H177" s="45">
        <f>MMULT($H$1,1/180)</f>
        <v>14.007504837813377</v>
      </c>
      <c r="I177" s="42">
        <f t="shared" si="20"/>
        <v>77.532561876307355</v>
      </c>
      <c r="J177" s="30">
        <f t="shared" si="22"/>
        <v>310</v>
      </c>
      <c r="K177" s="195"/>
      <c r="L177" s="27">
        <f t="shared" si="21"/>
        <v>387.53256187630734</v>
      </c>
    </row>
    <row r="178" spans="1:16" x14ac:dyDescent="0.45">
      <c r="A178" s="318"/>
      <c r="B178" s="5" t="s">
        <v>11</v>
      </c>
      <c r="C178" s="2">
        <v>404</v>
      </c>
      <c r="D178" s="1">
        <v>14129</v>
      </c>
      <c r="E178" s="1">
        <v>28658</v>
      </c>
      <c r="F178" s="41">
        <f t="shared" si="17"/>
        <v>14.529</v>
      </c>
      <c r="G178" s="22">
        <f t="shared" si="18"/>
        <v>56.95498634447879</v>
      </c>
      <c r="H178" s="45">
        <f t="shared" si="19"/>
        <v>14.007504837813377</v>
      </c>
      <c r="I178" s="42">
        <f>SUM(G178,H178)</f>
        <v>70.962491182292169</v>
      </c>
      <c r="J178" s="30">
        <f t="shared" si="22"/>
        <v>310</v>
      </c>
      <c r="K178" s="195"/>
      <c r="L178" s="27">
        <f t="shared" si="21"/>
        <v>380.96249118229218</v>
      </c>
    </row>
    <row r="179" spans="1:16" x14ac:dyDescent="0.45">
      <c r="A179" s="318"/>
      <c r="B179" s="5" t="s">
        <v>11</v>
      </c>
      <c r="C179" s="2">
        <v>501</v>
      </c>
      <c r="D179" s="1">
        <v>3895724</v>
      </c>
      <c r="E179" s="1">
        <v>3925343</v>
      </c>
      <c r="F179" s="41">
        <f t="shared" si="17"/>
        <v>29.619</v>
      </c>
      <c r="G179" s="22">
        <f t="shared" si="18"/>
        <v>116.10914313009273</v>
      </c>
      <c r="H179" s="45">
        <f t="shared" si="19"/>
        <v>14.007504837813377</v>
      </c>
      <c r="I179" s="42">
        <f t="shared" si="20"/>
        <v>130.11664796790612</v>
      </c>
      <c r="J179" s="30">
        <f t="shared" si="22"/>
        <v>310</v>
      </c>
      <c r="K179" s="195">
        <v>100</v>
      </c>
      <c r="L179" s="27">
        <f t="shared" si="21"/>
        <v>540.11664796790615</v>
      </c>
    </row>
    <row r="180" spans="1:16" x14ac:dyDescent="0.45">
      <c r="A180" s="318"/>
      <c r="B180" s="5" t="s">
        <v>11</v>
      </c>
      <c r="C180" s="2">
        <v>502</v>
      </c>
      <c r="D180" s="1">
        <v>3913206</v>
      </c>
      <c r="E180" s="1">
        <v>3931802</v>
      </c>
      <c r="F180" s="41">
        <f t="shared" si="17"/>
        <v>18.596</v>
      </c>
      <c r="G180" s="22">
        <f t="shared" si="18"/>
        <v>72.897992020230404</v>
      </c>
      <c r="H180" s="45">
        <f t="shared" si="19"/>
        <v>14.007504837813377</v>
      </c>
      <c r="I180" s="42">
        <f t="shared" si="20"/>
        <v>86.905496858043776</v>
      </c>
      <c r="J180" s="30">
        <f t="shared" si="22"/>
        <v>310</v>
      </c>
      <c r="K180" s="195"/>
      <c r="L180" s="27">
        <f t="shared" si="21"/>
        <v>396.90549685804376</v>
      </c>
    </row>
    <row r="181" spans="1:16" x14ac:dyDescent="0.45">
      <c r="A181" s="318"/>
      <c r="B181" s="5" t="s">
        <v>11</v>
      </c>
      <c r="C181" s="2">
        <v>503</v>
      </c>
      <c r="D181" s="1">
        <v>2386627</v>
      </c>
      <c r="E181" s="1">
        <v>2401741</v>
      </c>
      <c r="F181" s="41">
        <f t="shared" si="17"/>
        <v>15.114000000000001</v>
      </c>
      <c r="G181" s="22">
        <f t="shared" si="18"/>
        <v>59.248238943523468</v>
      </c>
      <c r="H181" s="45">
        <f t="shared" si="19"/>
        <v>14.007504837813377</v>
      </c>
      <c r="I181" s="42">
        <f t="shared" si="20"/>
        <v>73.255743781336847</v>
      </c>
      <c r="J181" s="30">
        <f t="shared" si="22"/>
        <v>310</v>
      </c>
      <c r="K181" s="195"/>
      <c r="L181" s="27">
        <f t="shared" si="21"/>
        <v>383.25574378133683</v>
      </c>
    </row>
    <row r="182" spans="1:16" x14ac:dyDescent="0.45">
      <c r="A182" s="318"/>
      <c r="B182" s="5" t="s">
        <v>11</v>
      </c>
      <c r="C182" s="2">
        <v>504</v>
      </c>
      <c r="D182" s="1">
        <v>3258421</v>
      </c>
      <c r="E182" s="1">
        <v>3280383</v>
      </c>
      <c r="F182" s="41">
        <f t="shared" si="17"/>
        <v>21.962</v>
      </c>
      <c r="G182" s="22">
        <f t="shared" si="18"/>
        <v>86.093014667041317</v>
      </c>
      <c r="H182" s="45">
        <f t="shared" si="19"/>
        <v>14.007504837813377</v>
      </c>
      <c r="I182" s="42">
        <f t="shared" si="20"/>
        <v>100.10051950485469</v>
      </c>
      <c r="J182" s="30">
        <f t="shared" si="22"/>
        <v>310</v>
      </c>
      <c r="K182" s="195"/>
      <c r="L182" s="27">
        <f t="shared" si="21"/>
        <v>410.10051950485467</v>
      </c>
    </row>
    <row r="183" spans="1:16" ht="15" customHeight="1" x14ac:dyDescent="0.45">
      <c r="F183" s="27">
        <f>SUM(F3:F182)</f>
        <v>2915.8129999999996</v>
      </c>
      <c r="G183" s="22">
        <f>MMULT($G$1,1/$F$183)*F183</f>
        <v>11430.249129193593</v>
      </c>
      <c r="H183" s="45">
        <f>SUM(H3:H182)</f>
        <v>2521.3508708064192</v>
      </c>
      <c r="I183" s="42">
        <f>SUM(G183,H183)</f>
        <v>13951.600000000013</v>
      </c>
      <c r="L183" s="161">
        <f>SUM(L3:L182)</f>
        <v>70261.599999999977</v>
      </c>
    </row>
    <row r="184" spans="1:16" ht="15" customHeight="1" x14ac:dyDescent="0.45">
      <c r="F184" t="s">
        <v>12</v>
      </c>
      <c r="I184" s="109">
        <f>SUM(-E190,I1)</f>
        <v>0</v>
      </c>
    </row>
    <row r="185" spans="1:16" ht="15" customHeight="1" x14ac:dyDescent="0.45">
      <c r="M185" t="s">
        <v>12</v>
      </c>
      <c r="N185" s="6"/>
      <c r="P185" s="6"/>
    </row>
    <row r="186" spans="1:16" ht="18" x14ac:dyDescent="0.55000000000000004">
      <c r="D186" s="322" t="s">
        <v>274</v>
      </c>
      <c r="E186" s="322"/>
      <c r="F186" s="322"/>
      <c r="M186" s="172"/>
    </row>
    <row r="187" spans="1:16" ht="15" customHeight="1" x14ac:dyDescent="0.55000000000000004">
      <c r="D187" s="54" t="s">
        <v>72</v>
      </c>
      <c r="E187" s="149" t="s">
        <v>275</v>
      </c>
      <c r="F187" s="54" t="s">
        <v>69</v>
      </c>
      <c r="M187" s="172"/>
      <c r="P187" s="6"/>
    </row>
    <row r="188" spans="1:16" ht="15" customHeight="1" x14ac:dyDescent="0.55000000000000004">
      <c r="D188" s="46">
        <v>6244656</v>
      </c>
      <c r="E188" s="88">
        <v>7094.6</v>
      </c>
      <c r="F188" s="93">
        <v>1836</v>
      </c>
      <c r="G188" s="92">
        <f>MMULT(E188,1/F188)</f>
        <v>3.8641612200435738</v>
      </c>
      <c r="H188" s="20"/>
      <c r="M188" s="172"/>
    </row>
    <row r="189" spans="1:16" ht="15" customHeight="1" thickBot="1" x14ac:dyDescent="0.6">
      <c r="D189" s="46">
        <v>6244619</v>
      </c>
      <c r="E189" s="87">
        <v>6857</v>
      </c>
      <c r="F189" s="94">
        <v>1723</v>
      </c>
      <c r="G189" s="92">
        <f>MMULT(E189,1/F189)</f>
        <v>3.97968659315148</v>
      </c>
      <c r="H189" s="152"/>
      <c r="M189" s="172"/>
      <c r="P189" s="6"/>
    </row>
    <row r="190" spans="1:16" ht="15" customHeight="1" thickBot="1" x14ac:dyDescent="0.5">
      <c r="D190" s="6" t="s">
        <v>33</v>
      </c>
      <c r="E190" s="48">
        <f>SUM(E188:E189)</f>
        <v>13951.6</v>
      </c>
      <c r="F190" s="95">
        <f>SUM(F188:F189)</f>
        <v>3559</v>
      </c>
      <c r="H190" s="61"/>
      <c r="M190" s="6"/>
    </row>
    <row r="191" spans="1:16" ht="15" customHeight="1" x14ac:dyDescent="0.45">
      <c r="E191" s="6" t="s">
        <v>283</v>
      </c>
      <c r="H191" s="61"/>
      <c r="M191" s="20"/>
      <c r="P191" s="6"/>
    </row>
    <row r="192" spans="1:16" ht="15" customHeight="1" x14ac:dyDescent="0.45">
      <c r="D192" s="319" t="s">
        <v>69</v>
      </c>
      <c r="E192" s="319"/>
      <c r="F192" s="49">
        <f>SUM(F190)</f>
        <v>3559</v>
      </c>
      <c r="G192" s="156">
        <f>SUM(I192)</f>
        <v>3.9200899128968816</v>
      </c>
      <c r="H192" s="155" t="s">
        <v>12</v>
      </c>
      <c r="I192" s="157" cm="1">
        <f t="array" ref="I192">MMULT(E190,1/F190)</f>
        <v>3.9200899128968816</v>
      </c>
    </row>
    <row r="193" spans="4:8" ht="15" customHeight="1" x14ac:dyDescent="0.45">
      <c r="D193" s="320" t="s">
        <v>271</v>
      </c>
      <c r="E193" s="321"/>
      <c r="F193" s="49">
        <f>SUM(F183)</f>
        <v>2915.8129999999996</v>
      </c>
      <c r="G193" s="27">
        <f>MMULT(F193,G192)</f>
        <v>11430.249129193593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643.18700000000035</v>
      </c>
      <c r="G194" s="158">
        <f>MMULT(F194,G192)</f>
        <v>2521.3508708064078</v>
      </c>
      <c r="H194" s="61"/>
    </row>
    <row r="195" spans="4:8" ht="15" customHeight="1" thickBot="1" x14ac:dyDescent="0.5">
      <c r="F195" s="7"/>
      <c r="G195" s="48">
        <f>SUM(G193:G194)</f>
        <v>13951.6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45.383000000000003</v>
      </c>
      <c r="G198" s="20">
        <f>MAX(I3:I182)</f>
        <v>191.91294535481256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14.007504837813377</v>
      </c>
    </row>
    <row r="200" spans="4:8" ht="15" customHeight="1" x14ac:dyDescent="0.45">
      <c r="D200" t="s">
        <v>265</v>
      </c>
      <c r="F200" s="92">
        <f>AVERAGE(F3:F182)</f>
        <v>16.19896111111111</v>
      </c>
      <c r="G200" s="92">
        <f>AVERAGE(G3:G182)</f>
        <v>63.501384051075568</v>
      </c>
    </row>
    <row r="201" spans="4:8" ht="15" customHeight="1" x14ac:dyDescent="0.45">
      <c r="D201" t="s">
        <v>273</v>
      </c>
      <c r="F201" s="92">
        <f>AVERAGE(F199,F198)</f>
        <v>22.691500000000001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:E1"/>
    <mergeCell ref="I1:J1"/>
    <mergeCell ref="A3:A22"/>
    <mergeCell ref="A23:A42"/>
    <mergeCell ref="A43:A62"/>
    <mergeCell ref="D192:E192"/>
    <mergeCell ref="D193:E193"/>
    <mergeCell ref="D194:E194"/>
    <mergeCell ref="D186:F186"/>
    <mergeCell ref="A63:A82"/>
    <mergeCell ref="A83:A102"/>
    <mergeCell ref="A103:A122"/>
    <mergeCell ref="A123:A142"/>
    <mergeCell ref="A143:A162"/>
    <mergeCell ref="A163:A18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385E0-BC0B-47F5-AB0F-F2FA5DBB0BB5}">
  <dimension ref="A1:O2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J186" sqref="J186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9.132812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11338.008920627675</v>
      </c>
      <c r="H1" s="27">
        <f>SUM(G194)</f>
        <v>2367.1910793723255</v>
      </c>
      <c r="I1" s="316">
        <f>SUM(G1:H1)</f>
        <v>13705.2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44022</v>
      </c>
      <c r="E2" s="3">
        <v>44053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3095728</v>
      </c>
      <c r="E3" s="1">
        <v>3106035</v>
      </c>
      <c r="F3" s="41">
        <f>(E3-D3)*$N$1</f>
        <v>10.307</v>
      </c>
      <c r="G3" s="22">
        <f>MMULT($G$1,1/$F$183)*F3</f>
        <v>40.302281426533533</v>
      </c>
      <c r="H3" s="45">
        <f>MMULT($H$1,1/180)</f>
        <v>13.151061552068475</v>
      </c>
      <c r="I3" s="42">
        <f>SUM(G3,H3)</f>
        <v>53.453342978602009</v>
      </c>
      <c r="J3" s="30">
        <v>310</v>
      </c>
      <c r="K3" s="195"/>
      <c r="L3" s="27">
        <f>SUM(I3,J3,K3)</f>
        <v>363.453342978602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1965127</v>
      </c>
      <c r="E4" s="1">
        <v>1974592</v>
      </c>
      <c r="F4" s="41">
        <f t="shared" ref="F4:F22" si="0">(E4-D4)*$N$1</f>
        <v>9.4649999999999999</v>
      </c>
      <c r="G4" s="22">
        <f>MMULT($G$1,1/$F$183)*F4</f>
        <v>37.009905278174038</v>
      </c>
      <c r="H4" s="45">
        <f t="shared" ref="H4:H67" si="1">MMULT($H$1,1/180)</f>
        <v>13.151061552068475</v>
      </c>
      <c r="I4" s="42">
        <f t="shared" ref="I4:I67" si="2">SUM(G4,H4)</f>
        <v>50.160966830242515</v>
      </c>
      <c r="J4" s="30">
        <f>SUM($J$3)</f>
        <v>310</v>
      </c>
      <c r="K4" s="195">
        <v>10</v>
      </c>
      <c r="L4" s="27">
        <f t="shared" ref="L4:L67" si="3">SUM(I4,J4,K4)</f>
        <v>370.1609668302425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2891786</v>
      </c>
      <c r="E5" s="1">
        <v>2901303</v>
      </c>
      <c r="F5" s="41">
        <f t="shared" si="0"/>
        <v>9.5169999999999995</v>
      </c>
      <c r="G5" s="22">
        <f t="shared" ref="G5:G67" si="4">MMULT($G$1,1/$F$183)*F5</f>
        <v>37.213234921540661</v>
      </c>
      <c r="H5" s="45">
        <f t="shared" si="1"/>
        <v>13.151061552068475</v>
      </c>
      <c r="I5" s="42">
        <f t="shared" si="2"/>
        <v>50.364296473609137</v>
      </c>
      <c r="J5" s="30">
        <f t="shared" ref="J5:J68" si="5">SUM($J$3)</f>
        <v>310</v>
      </c>
      <c r="K5" s="195"/>
      <c r="L5" s="27">
        <f t="shared" si="3"/>
        <v>360.36429647360916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2497847</v>
      </c>
      <c r="E6" s="1">
        <v>2508755</v>
      </c>
      <c r="F6" s="41">
        <f t="shared" si="0"/>
        <v>10.907999999999999</v>
      </c>
      <c r="G6" s="22">
        <f t="shared" si="4"/>
        <v>42.65230288159772</v>
      </c>
      <c r="H6" s="45">
        <f t="shared" si="1"/>
        <v>13.151061552068475</v>
      </c>
      <c r="I6" s="42">
        <f t="shared" si="2"/>
        <v>55.803364433666196</v>
      </c>
      <c r="J6" s="30">
        <f t="shared" si="5"/>
        <v>310</v>
      </c>
      <c r="K6" s="195"/>
      <c r="L6" s="27">
        <f t="shared" si="3"/>
        <v>365.80336443366622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3652196</v>
      </c>
      <c r="E7" s="1">
        <v>3665634</v>
      </c>
      <c r="F7" s="41">
        <f t="shared" si="0"/>
        <v>13.438000000000001</v>
      </c>
      <c r="G7" s="22">
        <f t="shared" si="4"/>
        <v>52.545072068473615</v>
      </c>
      <c r="H7" s="45">
        <f t="shared" si="1"/>
        <v>13.151061552068475</v>
      </c>
      <c r="I7" s="42">
        <f t="shared" si="2"/>
        <v>65.696133620542085</v>
      </c>
      <c r="J7" s="30">
        <f t="shared" si="5"/>
        <v>310</v>
      </c>
      <c r="K7" s="195"/>
      <c r="L7" s="27">
        <f t="shared" si="3"/>
        <v>375.69613362054207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119647</v>
      </c>
      <c r="E8" s="1">
        <v>136073</v>
      </c>
      <c r="F8" s="41">
        <f t="shared" si="0"/>
        <v>16.426000000000002</v>
      </c>
      <c r="G8" s="22">
        <f t="shared" si="4"/>
        <v>64.22870619115551</v>
      </c>
      <c r="H8" s="45">
        <f t="shared" si="1"/>
        <v>13.151061552068475</v>
      </c>
      <c r="I8" s="42">
        <f t="shared" si="2"/>
        <v>77.379767743223979</v>
      </c>
      <c r="J8" s="30">
        <f t="shared" si="5"/>
        <v>310</v>
      </c>
      <c r="K8" s="195"/>
      <c r="L8" s="27">
        <f t="shared" si="3"/>
        <v>387.37976774322397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4859641</v>
      </c>
      <c r="E9" s="1">
        <v>4877739</v>
      </c>
      <c r="F9" s="41">
        <f t="shared" si="0"/>
        <v>18.097999999999999</v>
      </c>
      <c r="G9" s="22">
        <f t="shared" si="4"/>
        <v>70.766536262482177</v>
      </c>
      <c r="H9" s="45">
        <f t="shared" si="1"/>
        <v>13.151061552068475</v>
      </c>
      <c r="I9" s="42">
        <f t="shared" si="2"/>
        <v>83.917597814550646</v>
      </c>
      <c r="J9" s="30">
        <f t="shared" si="5"/>
        <v>310</v>
      </c>
      <c r="K9" s="195"/>
      <c r="L9" s="27">
        <f t="shared" si="3"/>
        <v>393.91759781455062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1923571</v>
      </c>
      <c r="E10" s="1">
        <v>1936493</v>
      </c>
      <c r="F10" s="41">
        <f t="shared" si="0"/>
        <v>12.922000000000001</v>
      </c>
      <c r="G10" s="22">
        <f t="shared" si="4"/>
        <v>50.527416376604855</v>
      </c>
      <c r="H10" s="45">
        <f t="shared" si="1"/>
        <v>13.151061552068475</v>
      </c>
      <c r="I10" s="42">
        <f t="shared" si="2"/>
        <v>63.678477928673331</v>
      </c>
      <c r="J10" s="30">
        <f t="shared" si="5"/>
        <v>310</v>
      </c>
      <c r="K10" s="195"/>
      <c r="L10" s="27">
        <f t="shared" si="3"/>
        <v>373.67847792867332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3939215</v>
      </c>
      <c r="E11" s="1">
        <v>3966458</v>
      </c>
      <c r="F11" s="41">
        <f t="shared" si="0"/>
        <v>27.243000000000002</v>
      </c>
      <c r="G11" s="22">
        <f t="shared" si="4"/>
        <v>106.52518219686165</v>
      </c>
      <c r="H11" s="45">
        <f t="shared" si="1"/>
        <v>13.151061552068475</v>
      </c>
      <c r="I11" s="42">
        <f t="shared" si="2"/>
        <v>119.67624374893012</v>
      </c>
      <c r="J11" s="30">
        <f t="shared" si="5"/>
        <v>310</v>
      </c>
      <c r="K11" s="195">
        <v>10</v>
      </c>
      <c r="L11" s="27">
        <f t="shared" si="3"/>
        <v>439.67624374893012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4287525</v>
      </c>
      <c r="E12" s="1">
        <v>4307890</v>
      </c>
      <c r="F12" s="41">
        <f t="shared" si="0"/>
        <v>20.365000000000002</v>
      </c>
      <c r="G12" s="22">
        <f t="shared" si="4"/>
        <v>79.630926676176912</v>
      </c>
      <c r="H12" s="45">
        <f t="shared" si="1"/>
        <v>13.151061552068475</v>
      </c>
      <c r="I12" s="42">
        <f t="shared" si="2"/>
        <v>92.781988228245382</v>
      </c>
      <c r="J12" s="30">
        <f t="shared" si="5"/>
        <v>310</v>
      </c>
      <c r="K12" s="195"/>
      <c r="L12" s="27">
        <f t="shared" si="3"/>
        <v>402.78198822824538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3572031</v>
      </c>
      <c r="E13" s="1">
        <v>3585698</v>
      </c>
      <c r="F13" s="41">
        <f t="shared" si="0"/>
        <v>13.667</v>
      </c>
      <c r="G13" s="22">
        <f t="shared" si="4"/>
        <v>53.440504536376608</v>
      </c>
      <c r="H13" s="45">
        <f t="shared" si="1"/>
        <v>13.151061552068475</v>
      </c>
      <c r="I13" s="42">
        <f t="shared" si="2"/>
        <v>66.591566088445077</v>
      </c>
      <c r="J13" s="30">
        <f t="shared" si="5"/>
        <v>310</v>
      </c>
      <c r="K13" s="195"/>
      <c r="L13" s="27">
        <f t="shared" si="3"/>
        <v>376.59156608844506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1619207</v>
      </c>
      <c r="E14" s="1">
        <v>1635103</v>
      </c>
      <c r="F14" s="41">
        <f t="shared" si="0"/>
        <v>15.896000000000001</v>
      </c>
      <c r="G14" s="22">
        <f t="shared" si="4"/>
        <v>62.156307902995728</v>
      </c>
      <c r="H14" s="45">
        <f t="shared" si="1"/>
        <v>13.151061552068475</v>
      </c>
      <c r="I14" s="42">
        <f t="shared" si="2"/>
        <v>75.307369455064205</v>
      </c>
      <c r="J14" s="30">
        <f t="shared" si="5"/>
        <v>310</v>
      </c>
      <c r="K14" s="195"/>
      <c r="L14" s="27">
        <f t="shared" si="3"/>
        <v>385.30736945506419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2213591</v>
      </c>
      <c r="E15" s="1">
        <v>2219863</v>
      </c>
      <c r="F15" s="41">
        <f t="shared" si="0"/>
        <v>6.2720000000000002</v>
      </c>
      <c r="G15" s="22">
        <f t="shared" si="4"/>
        <v>24.524683138373756</v>
      </c>
      <c r="H15" s="45">
        <f t="shared" si="1"/>
        <v>13.151061552068475</v>
      </c>
      <c r="I15" s="42">
        <f t="shared" si="2"/>
        <v>37.67574469044223</v>
      </c>
      <c r="J15" s="30">
        <f t="shared" si="5"/>
        <v>310</v>
      </c>
      <c r="K15" s="195"/>
      <c r="L15" s="27">
        <f t="shared" si="3"/>
        <v>347.67574469044223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5561843</v>
      </c>
      <c r="E16" s="1">
        <v>5569728</v>
      </c>
      <c r="F16" s="41">
        <f t="shared" si="0"/>
        <v>7.8849999999999998</v>
      </c>
      <c r="G16" s="22">
        <f t="shared" si="4"/>
        <v>30.831812268188305</v>
      </c>
      <c r="H16" s="45">
        <f t="shared" si="1"/>
        <v>13.151061552068475</v>
      </c>
      <c r="I16" s="42">
        <f t="shared" si="2"/>
        <v>43.982873820256778</v>
      </c>
      <c r="J16" s="30">
        <f t="shared" si="5"/>
        <v>310</v>
      </c>
      <c r="K16" s="195"/>
      <c r="L16" s="27">
        <f t="shared" si="3"/>
        <v>353.98287382025677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2979504</v>
      </c>
      <c r="E17" s="1">
        <v>2990304</v>
      </c>
      <c r="F17" s="41">
        <f t="shared" si="0"/>
        <v>10.8</v>
      </c>
      <c r="G17" s="22">
        <f t="shared" si="4"/>
        <v>42.230002853067056</v>
      </c>
      <c r="H17" s="45">
        <f t="shared" si="1"/>
        <v>13.151061552068475</v>
      </c>
      <c r="I17" s="42">
        <f t="shared" si="2"/>
        <v>55.381064405135533</v>
      </c>
      <c r="J17" s="30">
        <f t="shared" si="5"/>
        <v>310</v>
      </c>
      <c r="K17" s="195">
        <v>10</v>
      </c>
      <c r="L17" s="27">
        <f t="shared" si="3"/>
        <v>375.38106440513553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2627719</v>
      </c>
      <c r="E18" s="1">
        <v>2638610</v>
      </c>
      <c r="F18" s="41">
        <f t="shared" si="0"/>
        <v>10.891</v>
      </c>
      <c r="G18" s="22">
        <f t="shared" si="4"/>
        <v>42.585829728958636</v>
      </c>
      <c r="H18" s="45">
        <f t="shared" si="1"/>
        <v>13.151061552068475</v>
      </c>
      <c r="I18" s="42">
        <f t="shared" si="2"/>
        <v>55.736891281027113</v>
      </c>
      <c r="J18" s="30">
        <f t="shared" si="5"/>
        <v>310</v>
      </c>
      <c r="K18" s="195"/>
      <c r="L18" s="27">
        <f t="shared" si="3"/>
        <v>365.73689128102711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3823519</v>
      </c>
      <c r="E19" s="1">
        <v>3845586</v>
      </c>
      <c r="F19" s="41">
        <f t="shared" si="0"/>
        <v>22.067</v>
      </c>
      <c r="G19" s="22">
        <f t="shared" si="4"/>
        <v>86.28606231098432</v>
      </c>
      <c r="H19" s="45">
        <f t="shared" si="1"/>
        <v>13.151061552068475</v>
      </c>
      <c r="I19" s="42">
        <f t="shared" si="2"/>
        <v>99.43712386305279</v>
      </c>
      <c r="J19" s="30">
        <f t="shared" si="5"/>
        <v>310</v>
      </c>
      <c r="K19" s="195"/>
      <c r="L19" s="27">
        <f t="shared" si="3"/>
        <v>409.43712386305276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5706547</v>
      </c>
      <c r="E20" s="1">
        <v>5741262</v>
      </c>
      <c r="F20" s="41">
        <f t="shared" si="0"/>
        <v>34.715000000000003</v>
      </c>
      <c r="G20" s="22">
        <f t="shared" si="4"/>
        <v>135.74208787446508</v>
      </c>
      <c r="H20" s="45">
        <f t="shared" si="1"/>
        <v>13.151061552068475</v>
      </c>
      <c r="I20" s="42">
        <f t="shared" si="2"/>
        <v>148.89314942653357</v>
      </c>
      <c r="J20" s="30">
        <f t="shared" si="5"/>
        <v>310</v>
      </c>
      <c r="K20" s="195"/>
      <c r="L20" s="27">
        <f t="shared" si="3"/>
        <v>458.89314942653357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1904085</v>
      </c>
      <c r="E21" s="1">
        <v>1928429</v>
      </c>
      <c r="F21" s="41">
        <f t="shared" si="0"/>
        <v>24.344000000000001</v>
      </c>
      <c r="G21" s="22">
        <f t="shared" si="4"/>
        <v>95.189554579172622</v>
      </c>
      <c r="H21" s="45">
        <f t="shared" si="1"/>
        <v>13.151061552068475</v>
      </c>
      <c r="I21" s="42">
        <f t="shared" si="2"/>
        <v>108.34061613124109</v>
      </c>
      <c r="J21" s="30">
        <f t="shared" si="5"/>
        <v>310</v>
      </c>
      <c r="K21" s="195"/>
      <c r="L21" s="27">
        <f t="shared" si="3"/>
        <v>418.34061613124106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290006</v>
      </c>
      <c r="E22" s="1">
        <v>292231</v>
      </c>
      <c r="F22" s="41">
        <f t="shared" si="0"/>
        <v>2.2250000000000001</v>
      </c>
      <c r="G22" s="22">
        <f>MMULT($G$1,1/$F$183)*F22</f>
        <v>8.7001626248216848</v>
      </c>
      <c r="H22" s="45">
        <f t="shared" si="1"/>
        <v>13.151061552068475</v>
      </c>
      <c r="I22" s="42">
        <f t="shared" si="2"/>
        <v>21.85122417689016</v>
      </c>
      <c r="J22" s="30">
        <f t="shared" si="5"/>
        <v>310</v>
      </c>
      <c r="K22" s="195"/>
      <c r="L22" s="27">
        <f t="shared" si="3"/>
        <v>331.85122417689018</v>
      </c>
    </row>
    <row r="23" spans="1:12" ht="15" customHeight="1" x14ac:dyDescent="0.45">
      <c r="A23" s="314"/>
      <c r="B23" s="5" t="s">
        <v>4</v>
      </c>
      <c r="C23" s="2">
        <v>101</v>
      </c>
      <c r="D23" s="1">
        <v>82929</v>
      </c>
      <c r="E23" s="1">
        <v>83943</v>
      </c>
      <c r="F23" s="41">
        <f>(E23-D23)*0.01</f>
        <v>10.14</v>
      </c>
      <c r="G23" s="22">
        <f t="shared" si="4"/>
        <v>39.649280456490736</v>
      </c>
      <c r="H23" s="45">
        <f t="shared" si="1"/>
        <v>13.151061552068475</v>
      </c>
      <c r="I23" s="42">
        <f t="shared" si="2"/>
        <v>52.800342008559213</v>
      </c>
      <c r="J23" s="30">
        <f t="shared" si="5"/>
        <v>310</v>
      </c>
      <c r="K23" s="232"/>
      <c r="L23" s="27">
        <f t="shared" si="3"/>
        <v>362.8003420085592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3444001</v>
      </c>
      <c r="E24" s="1">
        <v>3467145</v>
      </c>
      <c r="F24" s="41">
        <f t="shared" ref="F24:F32" si="6">(E24-D24)*$N$1</f>
        <v>23.144000000000002</v>
      </c>
      <c r="G24" s="22">
        <f t="shared" si="4"/>
        <v>90.497332039942961</v>
      </c>
      <c r="H24" s="45">
        <f t="shared" si="1"/>
        <v>13.151061552068475</v>
      </c>
      <c r="I24" s="42">
        <f t="shared" si="2"/>
        <v>103.64839359201143</v>
      </c>
      <c r="J24" s="30">
        <f t="shared" si="5"/>
        <v>310</v>
      </c>
      <c r="K24" s="195">
        <v>10</v>
      </c>
      <c r="L24" s="27">
        <f t="shared" si="3"/>
        <v>423.64839359201142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3445391</v>
      </c>
      <c r="E25" s="1">
        <v>3459969</v>
      </c>
      <c r="F25" s="41">
        <f t="shared" si="6"/>
        <v>14.578000000000001</v>
      </c>
      <c r="G25" s="22">
        <f t="shared" si="4"/>
        <v>57.002683480741808</v>
      </c>
      <c r="H25" s="45">
        <f t="shared" si="1"/>
        <v>13.151061552068475</v>
      </c>
      <c r="I25" s="42">
        <f t="shared" si="2"/>
        <v>70.153745032810278</v>
      </c>
      <c r="J25" s="30">
        <f t="shared" si="5"/>
        <v>310</v>
      </c>
      <c r="K25" s="195"/>
      <c r="L25" s="27">
        <f t="shared" si="3"/>
        <v>380.15374503281026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5262539</v>
      </c>
      <c r="E26" s="1">
        <v>5281365</v>
      </c>
      <c r="F26" s="41">
        <f t="shared" si="6"/>
        <v>18.826000000000001</v>
      </c>
      <c r="G26" s="22">
        <f t="shared" si="4"/>
        <v>73.613151269614846</v>
      </c>
      <c r="H26" s="45">
        <f t="shared" si="1"/>
        <v>13.151061552068475</v>
      </c>
      <c r="I26" s="42">
        <f t="shared" si="2"/>
        <v>86.764212821683316</v>
      </c>
      <c r="J26" s="30">
        <f t="shared" si="5"/>
        <v>310</v>
      </c>
      <c r="K26" s="195"/>
      <c r="L26" s="27">
        <f t="shared" si="3"/>
        <v>396.76421282168332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2735874</v>
      </c>
      <c r="E27" s="1">
        <v>2764888</v>
      </c>
      <c r="F27" s="41">
        <f t="shared" si="6"/>
        <v>29.013999999999999</v>
      </c>
      <c r="G27" s="22">
        <f t="shared" si="4"/>
        <v>113.45012062767476</v>
      </c>
      <c r="H27" s="45">
        <f t="shared" si="1"/>
        <v>13.151061552068475</v>
      </c>
      <c r="I27" s="42">
        <f t="shared" si="2"/>
        <v>126.60118217974323</v>
      </c>
      <c r="J27" s="30">
        <f t="shared" si="5"/>
        <v>310</v>
      </c>
      <c r="K27" s="195"/>
      <c r="L27" s="27">
        <f t="shared" si="3"/>
        <v>436.6011821797432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2554061</v>
      </c>
      <c r="E28" s="1">
        <v>2566652</v>
      </c>
      <c r="F28" s="41">
        <f t="shared" si="6"/>
        <v>12.591000000000001</v>
      </c>
      <c r="G28" s="22">
        <f t="shared" si="4"/>
        <v>49.233144992867345</v>
      </c>
      <c r="H28" s="45">
        <f t="shared" si="1"/>
        <v>13.151061552068475</v>
      </c>
      <c r="I28" s="42">
        <f t="shared" si="2"/>
        <v>62.384206544935822</v>
      </c>
      <c r="J28" s="30">
        <f t="shared" si="5"/>
        <v>310</v>
      </c>
      <c r="K28" s="195"/>
      <c r="L28" s="27">
        <f t="shared" si="3"/>
        <v>372.38420654493581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2433396</v>
      </c>
      <c r="E29" s="1">
        <v>2447039</v>
      </c>
      <c r="F29" s="41">
        <f t="shared" si="6"/>
        <v>13.643000000000001</v>
      </c>
      <c r="G29" s="22">
        <f t="shared" si="4"/>
        <v>53.346660085592021</v>
      </c>
      <c r="H29" s="45">
        <f t="shared" si="1"/>
        <v>13.151061552068475</v>
      </c>
      <c r="I29" s="42">
        <f t="shared" si="2"/>
        <v>66.49772163766049</v>
      </c>
      <c r="J29" s="30">
        <f t="shared" si="5"/>
        <v>310</v>
      </c>
      <c r="K29" s="195"/>
      <c r="L29" s="27">
        <f t="shared" si="3"/>
        <v>376.4977216376605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2779209</v>
      </c>
      <c r="E30" s="1">
        <v>2793565</v>
      </c>
      <c r="F30" s="41">
        <f t="shared" si="6"/>
        <v>14.356</v>
      </c>
      <c r="G30" s="22">
        <f t="shared" si="4"/>
        <v>56.134622310984312</v>
      </c>
      <c r="H30" s="45">
        <f t="shared" si="1"/>
        <v>13.151061552068475</v>
      </c>
      <c r="I30" s="42">
        <f t="shared" si="2"/>
        <v>69.285683863052782</v>
      </c>
      <c r="J30" s="30">
        <f t="shared" si="5"/>
        <v>310</v>
      </c>
      <c r="K30" s="195"/>
      <c r="L30" s="27">
        <f t="shared" si="3"/>
        <v>379.28568386305278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4213254</v>
      </c>
      <c r="E31" s="1">
        <v>4223877</v>
      </c>
      <c r="F31" s="41">
        <f t="shared" si="6"/>
        <v>10.623000000000001</v>
      </c>
      <c r="G31" s="22">
        <f t="shared" si="4"/>
        <v>41.537900028530679</v>
      </c>
      <c r="H31" s="45">
        <f t="shared" si="1"/>
        <v>13.151061552068475</v>
      </c>
      <c r="I31" s="42">
        <f t="shared" si="2"/>
        <v>54.688961580599155</v>
      </c>
      <c r="J31" s="30">
        <f t="shared" si="5"/>
        <v>310</v>
      </c>
      <c r="K31" s="195">
        <v>10</v>
      </c>
      <c r="L31" s="27">
        <f t="shared" si="3"/>
        <v>374.68896158059914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2539259</v>
      </c>
      <c r="E32" s="1">
        <v>2552022</v>
      </c>
      <c r="F32" s="41">
        <f t="shared" si="6"/>
        <v>12.763</v>
      </c>
      <c r="G32" s="22">
        <f t="shared" si="4"/>
        <v>49.905696890156925</v>
      </c>
      <c r="H32" s="45">
        <f t="shared" si="1"/>
        <v>13.151061552068475</v>
      </c>
      <c r="I32" s="42">
        <f t="shared" si="2"/>
        <v>63.056758442225401</v>
      </c>
      <c r="J32" s="30">
        <f t="shared" si="5"/>
        <v>310</v>
      </c>
      <c r="K32" s="195"/>
      <c r="L32" s="27">
        <f t="shared" si="3"/>
        <v>373.05675844222537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114706</v>
      </c>
      <c r="E33" s="1">
        <v>115916</v>
      </c>
      <c r="F33" s="41">
        <f>(E33-D33)*0.01</f>
        <v>12.1</v>
      </c>
      <c r="G33" s="22">
        <f t="shared" si="4"/>
        <v>47.313243937232528</v>
      </c>
      <c r="H33" s="45">
        <f t="shared" si="1"/>
        <v>13.151061552068475</v>
      </c>
      <c r="I33" s="42">
        <f t="shared" si="2"/>
        <v>60.464305489301005</v>
      </c>
      <c r="J33" s="30">
        <f t="shared" si="5"/>
        <v>310</v>
      </c>
      <c r="K33" s="195"/>
      <c r="L33" s="27">
        <f t="shared" si="3"/>
        <v>370.46430548930101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3402418</v>
      </c>
      <c r="E34" s="1">
        <v>3428770</v>
      </c>
      <c r="F34" s="41">
        <f t="shared" ref="F34:F42" si="7">(E34-D34)*$N$1</f>
        <v>26.352</v>
      </c>
      <c r="G34" s="22">
        <f t="shared" si="4"/>
        <v>103.04120696148361</v>
      </c>
      <c r="H34" s="45">
        <f t="shared" si="1"/>
        <v>13.151061552068475</v>
      </c>
      <c r="I34" s="42">
        <f t="shared" si="2"/>
        <v>116.19226851355208</v>
      </c>
      <c r="J34" s="30">
        <f t="shared" si="5"/>
        <v>310</v>
      </c>
      <c r="K34" s="195"/>
      <c r="L34" s="27">
        <f t="shared" si="3"/>
        <v>426.19226851355211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3279721</v>
      </c>
      <c r="E35" s="1">
        <v>3288749</v>
      </c>
      <c r="F35" s="41">
        <f t="shared" si="7"/>
        <v>9.0280000000000005</v>
      </c>
      <c r="G35" s="22">
        <f t="shared" si="4"/>
        <v>35.301154236804571</v>
      </c>
      <c r="H35" s="45">
        <f t="shared" si="1"/>
        <v>13.151061552068475</v>
      </c>
      <c r="I35" s="42">
        <f t="shared" si="2"/>
        <v>48.452215788873048</v>
      </c>
      <c r="J35" s="30">
        <f t="shared" si="5"/>
        <v>310</v>
      </c>
      <c r="K35" s="195"/>
      <c r="L35" s="27">
        <f t="shared" si="3"/>
        <v>358.45221578887305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1309547</v>
      </c>
      <c r="E36" s="1">
        <v>1321690</v>
      </c>
      <c r="F36" s="41">
        <f t="shared" si="7"/>
        <v>12.143000000000001</v>
      </c>
      <c r="G36" s="22">
        <f t="shared" si="4"/>
        <v>47.481381911554926</v>
      </c>
      <c r="H36" s="45">
        <f t="shared" si="1"/>
        <v>13.151061552068475</v>
      </c>
      <c r="I36" s="42">
        <f t="shared" si="2"/>
        <v>60.632443463623403</v>
      </c>
      <c r="J36" s="30">
        <f t="shared" si="5"/>
        <v>310</v>
      </c>
      <c r="K36" s="195"/>
      <c r="L36" s="27">
        <f t="shared" si="3"/>
        <v>370.63244346362342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14008</v>
      </c>
      <c r="E37" s="1">
        <v>14009</v>
      </c>
      <c r="F37" s="41">
        <f t="shared" si="7"/>
        <v>1E-3</v>
      </c>
      <c r="G37" s="22">
        <f t="shared" si="4"/>
        <v>3.9101854493580604E-3</v>
      </c>
      <c r="H37" s="45">
        <f t="shared" si="1"/>
        <v>13.151061552068475</v>
      </c>
      <c r="I37" s="42">
        <f t="shared" si="2"/>
        <v>13.154971737517833</v>
      </c>
      <c r="J37" s="30">
        <f t="shared" si="5"/>
        <v>310</v>
      </c>
      <c r="K37" s="195"/>
      <c r="L37" s="27">
        <f t="shared" si="3"/>
        <v>323.15497173751783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3822839</v>
      </c>
      <c r="E38" s="1">
        <v>3847263</v>
      </c>
      <c r="F38" s="41">
        <f t="shared" si="7"/>
        <v>24.423999999999999</v>
      </c>
      <c r="G38" s="22">
        <f t="shared" si="4"/>
        <v>95.502369415121265</v>
      </c>
      <c r="H38" s="45">
        <f t="shared" si="1"/>
        <v>13.151061552068475</v>
      </c>
      <c r="I38" s="42">
        <f t="shared" si="2"/>
        <v>108.65343096718973</v>
      </c>
      <c r="J38" s="30">
        <f t="shared" si="5"/>
        <v>310</v>
      </c>
      <c r="K38" s="195"/>
      <c r="L38" s="27">
        <f t="shared" si="3"/>
        <v>418.65343096718971</v>
      </c>
    </row>
    <row r="39" spans="1:12" ht="15" customHeight="1" x14ac:dyDescent="0.45">
      <c r="A39" s="314"/>
      <c r="B39" s="5" t="s">
        <v>4</v>
      </c>
      <c r="C39" s="2">
        <v>501</v>
      </c>
      <c r="D39" s="1">
        <v>5040850</v>
      </c>
      <c r="E39" s="1">
        <v>5078423</v>
      </c>
      <c r="F39" s="41">
        <f t="shared" si="7"/>
        <v>37.573</v>
      </c>
      <c r="G39" s="22">
        <f t="shared" si="4"/>
        <v>146.91739788873039</v>
      </c>
      <c r="H39" s="45">
        <f t="shared" si="1"/>
        <v>13.151061552068475</v>
      </c>
      <c r="I39" s="42">
        <f t="shared" si="2"/>
        <v>160.06845944079888</v>
      </c>
      <c r="J39" s="30">
        <f t="shared" si="5"/>
        <v>310</v>
      </c>
      <c r="K39" s="195"/>
      <c r="L39" s="27">
        <f t="shared" si="3"/>
        <v>470.06845944079885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6649380</v>
      </c>
      <c r="E40" s="1">
        <v>6669806</v>
      </c>
      <c r="F40" s="41">
        <f t="shared" si="7"/>
        <v>20.426000000000002</v>
      </c>
      <c r="G40" s="22">
        <f t="shared" si="4"/>
        <v>79.869447988587751</v>
      </c>
      <c r="H40" s="45">
        <f t="shared" si="1"/>
        <v>13.151061552068475</v>
      </c>
      <c r="I40" s="42">
        <f t="shared" si="2"/>
        <v>93.020509540656221</v>
      </c>
      <c r="J40" s="30">
        <f t="shared" si="5"/>
        <v>310</v>
      </c>
      <c r="K40" s="195"/>
      <c r="L40" s="27">
        <f t="shared" si="3"/>
        <v>403.02050954065624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3730940</v>
      </c>
      <c r="E41" s="1">
        <v>3752659</v>
      </c>
      <c r="F41" s="41">
        <f t="shared" si="7"/>
        <v>21.719000000000001</v>
      </c>
      <c r="G41" s="22">
        <f t="shared" si="4"/>
        <v>84.92531777460772</v>
      </c>
      <c r="H41" s="45">
        <f t="shared" si="1"/>
        <v>13.151061552068475</v>
      </c>
      <c r="I41" s="42">
        <f t="shared" si="2"/>
        <v>98.076379326676189</v>
      </c>
      <c r="J41" s="30">
        <f t="shared" si="5"/>
        <v>310</v>
      </c>
      <c r="K41" s="195"/>
      <c r="L41" s="27">
        <f t="shared" si="3"/>
        <v>408.0763793266762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2959084</v>
      </c>
      <c r="E42" s="1">
        <v>2964446</v>
      </c>
      <c r="F42" s="41">
        <f t="shared" si="7"/>
        <v>5.3620000000000001</v>
      </c>
      <c r="G42" s="22">
        <f t="shared" si="4"/>
        <v>20.96641437945792</v>
      </c>
      <c r="H42" s="45">
        <f t="shared" si="1"/>
        <v>13.151061552068475</v>
      </c>
      <c r="I42" s="42">
        <f t="shared" si="2"/>
        <v>34.117475931526393</v>
      </c>
      <c r="J42" s="30">
        <f t="shared" si="5"/>
        <v>310</v>
      </c>
      <c r="K42" s="195"/>
      <c r="L42" s="27">
        <f t="shared" si="3"/>
        <v>344.11747593152637</v>
      </c>
    </row>
    <row r="43" spans="1:12" ht="15" customHeight="1" x14ac:dyDescent="0.45">
      <c r="A43" s="318"/>
      <c r="B43" s="5" t="s">
        <v>5</v>
      </c>
      <c r="C43" s="2">
        <v>101</v>
      </c>
      <c r="D43" s="1">
        <v>29502</v>
      </c>
      <c r="E43" s="1">
        <v>30045</v>
      </c>
      <c r="F43" s="41">
        <f>(E43-D43)*0.01</f>
        <v>5.43</v>
      </c>
      <c r="G43" s="22">
        <f t="shared" si="4"/>
        <v>21.232306990014266</v>
      </c>
      <c r="H43" s="45">
        <f t="shared" si="1"/>
        <v>13.151061552068475</v>
      </c>
      <c r="I43" s="42">
        <f t="shared" si="2"/>
        <v>34.383368542082742</v>
      </c>
      <c r="J43" s="30">
        <f t="shared" si="5"/>
        <v>310</v>
      </c>
      <c r="K43" s="195"/>
      <c r="L43" s="27">
        <f t="shared" si="3"/>
        <v>344.38336854208274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2927729</v>
      </c>
      <c r="E44" s="1">
        <v>2946315</v>
      </c>
      <c r="F44" s="41">
        <f t="shared" ref="F44:F56" si="8">(E44-D44)*$N$1</f>
        <v>18.586000000000002</v>
      </c>
      <c r="G44" s="22">
        <f t="shared" si="4"/>
        <v>72.674706761768917</v>
      </c>
      <c r="H44" s="45">
        <f t="shared" si="1"/>
        <v>13.151061552068475</v>
      </c>
      <c r="I44" s="42">
        <f t="shared" si="2"/>
        <v>85.825768313837386</v>
      </c>
      <c r="J44" s="30">
        <f t="shared" si="5"/>
        <v>310</v>
      </c>
      <c r="K44" s="195"/>
      <c r="L44" s="27">
        <f t="shared" si="3"/>
        <v>395.82576831383739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986841</v>
      </c>
      <c r="E45" s="1">
        <v>986841</v>
      </c>
      <c r="F45" s="41">
        <f t="shared" si="8"/>
        <v>0</v>
      </c>
      <c r="G45" s="22">
        <f t="shared" si="4"/>
        <v>0</v>
      </c>
      <c r="H45" s="45">
        <f t="shared" si="1"/>
        <v>13.151061552068475</v>
      </c>
      <c r="I45" s="42">
        <f t="shared" si="2"/>
        <v>13.151061552068475</v>
      </c>
      <c r="J45" s="30">
        <f t="shared" si="5"/>
        <v>310</v>
      </c>
      <c r="K45" s="195"/>
      <c r="L45" s="27">
        <f t="shared" si="3"/>
        <v>323.15106155206848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4215653</v>
      </c>
      <c r="E46" s="1">
        <v>4228204</v>
      </c>
      <c r="F46" s="41">
        <f t="shared" si="8"/>
        <v>12.551</v>
      </c>
      <c r="G46" s="22">
        <f t="shared" si="4"/>
        <v>49.076737574893016</v>
      </c>
      <c r="H46" s="45">
        <f t="shared" si="1"/>
        <v>13.151061552068475</v>
      </c>
      <c r="I46" s="42">
        <f t="shared" si="2"/>
        <v>62.227799126961493</v>
      </c>
      <c r="J46" s="30">
        <f t="shared" si="5"/>
        <v>310</v>
      </c>
      <c r="K46" s="195"/>
      <c r="L46" s="27">
        <f t="shared" si="3"/>
        <v>372.22779912696149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3980328</v>
      </c>
      <c r="E47" s="1">
        <v>3998799</v>
      </c>
      <c r="F47" s="41">
        <f t="shared" si="8"/>
        <v>18.471</v>
      </c>
      <c r="G47" s="22">
        <f t="shared" si="4"/>
        <v>72.225035435092735</v>
      </c>
      <c r="H47" s="45">
        <f t="shared" si="1"/>
        <v>13.151061552068475</v>
      </c>
      <c r="I47" s="42">
        <f t="shared" si="2"/>
        <v>85.376096987161205</v>
      </c>
      <c r="J47" s="30">
        <f t="shared" si="5"/>
        <v>310</v>
      </c>
      <c r="K47" s="195"/>
      <c r="L47" s="27">
        <f t="shared" si="3"/>
        <v>395.37609698716119</v>
      </c>
    </row>
    <row r="48" spans="1:12" ht="15" customHeight="1" x14ac:dyDescent="0.45">
      <c r="A48" s="318"/>
      <c r="B48" s="5" t="s">
        <v>5</v>
      </c>
      <c r="C48" s="2">
        <v>202</v>
      </c>
      <c r="D48" s="1">
        <v>3021209</v>
      </c>
      <c r="E48" s="1">
        <v>3051476</v>
      </c>
      <c r="F48" s="41">
        <f t="shared" si="8"/>
        <v>30.266999999999999</v>
      </c>
      <c r="G48" s="22">
        <f t="shared" si="4"/>
        <v>118.34958299572041</v>
      </c>
      <c r="H48" s="45">
        <f t="shared" si="1"/>
        <v>13.151061552068475</v>
      </c>
      <c r="I48" s="42">
        <f t="shared" si="2"/>
        <v>131.50064454778888</v>
      </c>
      <c r="J48" s="30">
        <f t="shared" si="5"/>
        <v>310</v>
      </c>
      <c r="K48" s="195"/>
      <c r="L48" s="27">
        <f t="shared" si="3"/>
        <v>441.50064454778885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2392245</v>
      </c>
      <c r="E49" s="1">
        <v>2403590</v>
      </c>
      <c r="F49" s="41">
        <f t="shared" si="8"/>
        <v>11.345000000000001</v>
      </c>
      <c r="G49" s="22">
        <f t="shared" si="4"/>
        <v>44.361053922967194</v>
      </c>
      <c r="H49" s="45">
        <f t="shared" si="1"/>
        <v>13.151061552068475</v>
      </c>
      <c r="I49" s="42">
        <f t="shared" si="2"/>
        <v>57.512115475035671</v>
      </c>
      <c r="J49" s="30">
        <f t="shared" si="5"/>
        <v>310</v>
      </c>
      <c r="K49" s="195"/>
      <c r="L49" s="27">
        <f t="shared" si="3"/>
        <v>367.51211547503567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2297702</v>
      </c>
      <c r="E50" s="1">
        <v>2309175</v>
      </c>
      <c r="F50" s="41">
        <f t="shared" si="8"/>
        <v>11.473000000000001</v>
      </c>
      <c r="G50" s="22">
        <f t="shared" si="4"/>
        <v>44.861557660485026</v>
      </c>
      <c r="H50" s="45">
        <f t="shared" si="1"/>
        <v>13.151061552068475</v>
      </c>
      <c r="I50" s="42">
        <f t="shared" si="2"/>
        <v>58.012619212553503</v>
      </c>
      <c r="J50" s="30">
        <f t="shared" si="5"/>
        <v>310</v>
      </c>
      <c r="K50" s="195"/>
      <c r="L50" s="27">
        <f t="shared" si="3"/>
        <v>368.01261921255349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2716424</v>
      </c>
      <c r="E51" s="1">
        <v>2726249</v>
      </c>
      <c r="F51" s="41">
        <f t="shared" si="8"/>
        <v>9.8250000000000011</v>
      </c>
      <c r="G51" s="22">
        <f t="shared" si="4"/>
        <v>38.417572039942947</v>
      </c>
      <c r="H51" s="45">
        <f t="shared" si="1"/>
        <v>13.151061552068475</v>
      </c>
      <c r="I51" s="42">
        <f t="shared" si="2"/>
        <v>51.568633592011423</v>
      </c>
      <c r="J51" s="30">
        <f t="shared" si="5"/>
        <v>310</v>
      </c>
      <c r="K51" s="195"/>
      <c r="L51" s="27">
        <f t="shared" si="3"/>
        <v>361.56863359201145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4087143</v>
      </c>
      <c r="E52" s="1">
        <v>4104303</v>
      </c>
      <c r="F52" s="41">
        <f t="shared" si="8"/>
        <v>17.16</v>
      </c>
      <c r="G52" s="22">
        <f t="shared" si="4"/>
        <v>67.098782310984319</v>
      </c>
      <c r="H52" s="45">
        <f t="shared" si="1"/>
        <v>13.151061552068475</v>
      </c>
      <c r="I52" s="42">
        <f t="shared" si="2"/>
        <v>80.249843863052789</v>
      </c>
      <c r="J52" s="30">
        <f t="shared" si="5"/>
        <v>310</v>
      </c>
      <c r="K52" s="195"/>
      <c r="L52" s="27">
        <f t="shared" si="3"/>
        <v>390.24984386305277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3691205</v>
      </c>
      <c r="E53" s="1">
        <v>3699533</v>
      </c>
      <c r="F53" s="41">
        <f t="shared" si="8"/>
        <v>8.3279999999999994</v>
      </c>
      <c r="G53" s="22">
        <f t="shared" si="4"/>
        <v>32.564024422253922</v>
      </c>
      <c r="H53" s="45">
        <f t="shared" si="1"/>
        <v>13.151061552068475</v>
      </c>
      <c r="I53" s="42">
        <f t="shared" si="2"/>
        <v>45.715085974322399</v>
      </c>
      <c r="J53" s="30">
        <f t="shared" si="5"/>
        <v>310</v>
      </c>
      <c r="K53" s="195"/>
      <c r="L53" s="27">
        <f t="shared" si="3"/>
        <v>355.71508597432239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2928482</v>
      </c>
      <c r="E54" s="1">
        <v>2937800</v>
      </c>
      <c r="F54" s="41">
        <f t="shared" si="8"/>
        <v>9.3179999999999996</v>
      </c>
      <c r="G54" s="22">
        <f t="shared" si="4"/>
        <v>36.435108017118402</v>
      </c>
      <c r="H54" s="45">
        <f t="shared" si="1"/>
        <v>13.151061552068475</v>
      </c>
      <c r="I54" s="42">
        <f t="shared" si="2"/>
        <v>49.586169569186879</v>
      </c>
      <c r="J54" s="30">
        <f t="shared" si="5"/>
        <v>310</v>
      </c>
      <c r="K54" s="195"/>
      <c r="L54" s="27">
        <f t="shared" si="3"/>
        <v>359.58616956918689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3035669</v>
      </c>
      <c r="E55" s="1">
        <v>3042160</v>
      </c>
      <c r="F55" s="41">
        <f t="shared" si="8"/>
        <v>6.4910000000000005</v>
      </c>
      <c r="G55" s="22">
        <f t="shared" si="4"/>
        <v>25.381013751783172</v>
      </c>
      <c r="H55" s="45">
        <f t="shared" si="1"/>
        <v>13.151061552068475</v>
      </c>
      <c r="I55" s="42">
        <f t="shared" si="2"/>
        <v>38.532075303851649</v>
      </c>
      <c r="J55" s="30">
        <f t="shared" si="5"/>
        <v>310</v>
      </c>
      <c r="K55" s="195"/>
      <c r="L55" s="27">
        <f t="shared" si="3"/>
        <v>348.53207530385163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1323913</v>
      </c>
      <c r="E56" s="1">
        <v>1326991</v>
      </c>
      <c r="F56" s="41">
        <f t="shared" si="8"/>
        <v>3.0779999999999998</v>
      </c>
      <c r="G56" s="22">
        <f t="shared" si="4"/>
        <v>12.035550813124109</v>
      </c>
      <c r="H56" s="45">
        <f t="shared" si="1"/>
        <v>13.151061552068475</v>
      </c>
      <c r="I56" s="42">
        <f t="shared" si="2"/>
        <v>25.186612365192584</v>
      </c>
      <c r="J56" s="30">
        <f t="shared" si="5"/>
        <v>310</v>
      </c>
      <c r="K56" s="195"/>
      <c r="L56" s="27">
        <f t="shared" si="3"/>
        <v>335.18661236519256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164684</v>
      </c>
      <c r="E57" s="1">
        <v>167051</v>
      </c>
      <c r="F57" s="41">
        <f>(E57-D57)*0.01</f>
        <v>23.67</v>
      </c>
      <c r="G57" s="22">
        <f t="shared" si="4"/>
        <v>92.554089586305295</v>
      </c>
      <c r="H57" s="45">
        <f t="shared" si="1"/>
        <v>13.151061552068475</v>
      </c>
      <c r="I57" s="42">
        <f t="shared" si="2"/>
        <v>105.70515113837376</v>
      </c>
      <c r="J57" s="30">
        <f t="shared" si="5"/>
        <v>310</v>
      </c>
      <c r="K57" s="195">
        <v>10</v>
      </c>
      <c r="L57" s="27">
        <f t="shared" si="3"/>
        <v>425.70515113837376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1971806</v>
      </c>
      <c r="E58" s="1">
        <v>1983093</v>
      </c>
      <c r="F58" s="41">
        <f t="shared" ref="F58:F87" si="9">(E58-D58)*$N$1</f>
        <v>11.287000000000001</v>
      </c>
      <c r="G58" s="22">
        <f t="shared" si="4"/>
        <v>44.134263166904432</v>
      </c>
      <c r="H58" s="45">
        <f t="shared" si="1"/>
        <v>13.151061552068475</v>
      </c>
      <c r="I58" s="42">
        <f t="shared" si="2"/>
        <v>57.285324718972909</v>
      </c>
      <c r="J58" s="30">
        <f t="shared" si="5"/>
        <v>310</v>
      </c>
      <c r="K58" s="195"/>
      <c r="L58" s="27">
        <f t="shared" si="3"/>
        <v>367.2853247189729</v>
      </c>
    </row>
    <row r="59" spans="1:12" ht="15" customHeight="1" x14ac:dyDescent="0.45">
      <c r="A59" s="318"/>
      <c r="B59" s="5" t="s">
        <v>5</v>
      </c>
      <c r="C59" s="2">
        <v>501</v>
      </c>
      <c r="D59" s="1">
        <v>2976909</v>
      </c>
      <c r="E59" s="1">
        <v>3029997</v>
      </c>
      <c r="F59" s="41">
        <f t="shared" si="9"/>
        <v>53.088000000000001</v>
      </c>
      <c r="G59" s="22">
        <f t="shared" si="4"/>
        <v>207.5839251355207</v>
      </c>
      <c r="H59" s="45">
        <f t="shared" si="1"/>
        <v>13.151061552068475</v>
      </c>
      <c r="I59" s="42">
        <f t="shared" si="2"/>
        <v>220.73498668758918</v>
      </c>
      <c r="J59" s="30">
        <f t="shared" si="5"/>
        <v>310</v>
      </c>
      <c r="K59" s="195"/>
      <c r="L59" s="27">
        <f t="shared" si="3"/>
        <v>530.73498668758918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3481793</v>
      </c>
      <c r="E60" s="1">
        <v>3493079</v>
      </c>
      <c r="F60" s="41">
        <f t="shared" si="9"/>
        <v>11.286</v>
      </c>
      <c r="G60" s="22">
        <f t="shared" si="4"/>
        <v>44.130352981455069</v>
      </c>
      <c r="H60" s="45">
        <f t="shared" si="1"/>
        <v>13.151061552068475</v>
      </c>
      <c r="I60" s="42">
        <f t="shared" si="2"/>
        <v>57.281414533523545</v>
      </c>
      <c r="J60" s="30">
        <f t="shared" si="5"/>
        <v>310</v>
      </c>
      <c r="K60" s="195"/>
      <c r="L60" s="27">
        <f t="shared" si="3"/>
        <v>367.28141453352356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4484526</v>
      </c>
      <c r="E61" s="1">
        <v>4513410</v>
      </c>
      <c r="F61" s="41">
        <f t="shared" si="9"/>
        <v>28.884</v>
      </c>
      <c r="G61" s="22">
        <f t="shared" si="4"/>
        <v>112.94179651925822</v>
      </c>
      <c r="H61" s="45">
        <f t="shared" si="1"/>
        <v>13.151061552068475</v>
      </c>
      <c r="I61" s="42">
        <f t="shared" si="2"/>
        <v>126.09285807132669</v>
      </c>
      <c r="J61" s="30">
        <f t="shared" si="5"/>
        <v>310</v>
      </c>
      <c r="K61" s="195">
        <v>-37.5</v>
      </c>
      <c r="L61" s="27">
        <f t="shared" si="3"/>
        <v>398.5928580713267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2140316</v>
      </c>
      <c r="E62" s="1">
        <v>2157959</v>
      </c>
      <c r="F62" s="41">
        <f t="shared" si="9"/>
        <v>17.643000000000001</v>
      </c>
      <c r="G62" s="22">
        <f t="shared" si="4"/>
        <v>68.987401883024262</v>
      </c>
      <c r="H62" s="45">
        <f t="shared" si="1"/>
        <v>13.151061552068475</v>
      </c>
      <c r="I62" s="42">
        <f t="shared" si="2"/>
        <v>82.138463435092731</v>
      </c>
      <c r="J62" s="30">
        <f t="shared" si="5"/>
        <v>310</v>
      </c>
      <c r="K62" s="195"/>
      <c r="L62" s="27">
        <f t="shared" si="3"/>
        <v>392.13846343509272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4882948</v>
      </c>
      <c r="E63" s="1">
        <v>4903173</v>
      </c>
      <c r="F63" s="41">
        <f t="shared" si="9"/>
        <v>20.225000000000001</v>
      </c>
      <c r="G63" s="22">
        <f t="shared" si="4"/>
        <v>79.083500713266773</v>
      </c>
      <c r="H63" s="45">
        <f t="shared" si="1"/>
        <v>13.151061552068475</v>
      </c>
      <c r="I63" s="42">
        <f t="shared" si="2"/>
        <v>92.234562265335242</v>
      </c>
      <c r="J63" s="30">
        <f t="shared" si="5"/>
        <v>310</v>
      </c>
      <c r="K63" s="195"/>
      <c r="L63" s="27">
        <f t="shared" si="3"/>
        <v>402.23456226533523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4686017</v>
      </c>
      <c r="E64" s="1">
        <v>4688633</v>
      </c>
      <c r="F64" s="41">
        <f t="shared" si="9"/>
        <v>2.6160000000000001</v>
      </c>
      <c r="G64" s="22">
        <f>MMULT($G$1,1/$F$183)*F64</f>
        <v>10.229045135520686</v>
      </c>
      <c r="H64" s="45">
        <f t="shared" si="1"/>
        <v>13.151061552068475</v>
      </c>
      <c r="I64" s="42">
        <f t="shared" si="2"/>
        <v>23.380106687589162</v>
      </c>
      <c r="J64" s="30">
        <f t="shared" si="5"/>
        <v>310</v>
      </c>
      <c r="K64" s="195"/>
      <c r="L64" s="27">
        <f t="shared" si="3"/>
        <v>333.38010668758915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3399616</v>
      </c>
      <c r="E65" s="1">
        <v>3410799</v>
      </c>
      <c r="F65" s="41">
        <f t="shared" si="9"/>
        <v>11.183</v>
      </c>
      <c r="G65" s="22">
        <f t="shared" si="4"/>
        <v>43.727603880171188</v>
      </c>
      <c r="H65" s="45">
        <f t="shared" si="1"/>
        <v>13.151061552068475</v>
      </c>
      <c r="I65" s="42">
        <f t="shared" si="2"/>
        <v>56.878665432239664</v>
      </c>
      <c r="J65" s="30">
        <f t="shared" si="5"/>
        <v>310</v>
      </c>
      <c r="K65" s="195">
        <v>10</v>
      </c>
      <c r="L65" s="27">
        <f>SUM(I65,J65,K65)</f>
        <v>376.87866543223964</v>
      </c>
    </row>
    <row r="66" spans="1:12" ht="15" customHeight="1" x14ac:dyDescent="0.45">
      <c r="A66" s="314"/>
      <c r="B66" s="5" t="s">
        <v>6</v>
      </c>
      <c r="C66" s="2">
        <v>104</v>
      </c>
      <c r="D66" s="1">
        <v>132979</v>
      </c>
      <c r="E66" s="1">
        <v>155005</v>
      </c>
      <c r="F66" s="41">
        <f t="shared" si="9"/>
        <v>22.026</v>
      </c>
      <c r="G66" s="22">
        <f t="shared" si="4"/>
        <v>86.125744707560642</v>
      </c>
      <c r="H66" s="45">
        <f t="shared" si="1"/>
        <v>13.151061552068475</v>
      </c>
      <c r="I66" s="42">
        <f t="shared" si="2"/>
        <v>99.276806259629112</v>
      </c>
      <c r="J66" s="30">
        <f t="shared" si="5"/>
        <v>310</v>
      </c>
      <c r="K66" s="195"/>
      <c r="L66" s="27">
        <f t="shared" si="3"/>
        <v>409.2768062596291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4080252</v>
      </c>
      <c r="E67" s="1">
        <v>4084862</v>
      </c>
      <c r="F67" s="41">
        <f t="shared" si="9"/>
        <v>4.6100000000000003</v>
      </c>
      <c r="G67" s="22">
        <f t="shared" si="4"/>
        <v>18.025954921540659</v>
      </c>
      <c r="H67" s="45">
        <f t="shared" si="1"/>
        <v>13.151061552068475</v>
      </c>
      <c r="I67" s="42">
        <f t="shared" si="2"/>
        <v>31.177016473609136</v>
      </c>
      <c r="J67" s="30">
        <f t="shared" si="5"/>
        <v>310</v>
      </c>
      <c r="K67" s="195"/>
      <c r="L67" s="27">
        <f t="shared" si="3"/>
        <v>341.17701647360911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4270195</v>
      </c>
      <c r="E68" s="1">
        <v>4309669</v>
      </c>
      <c r="F68" s="41">
        <f t="shared" si="9"/>
        <v>39.474000000000004</v>
      </c>
      <c r="G68" s="22">
        <f t="shared" ref="G68:G131" si="10">MMULT($G$1,1/$F$183)*F68</f>
        <v>154.35066042796009</v>
      </c>
      <c r="H68" s="45">
        <f t="shared" ref="H68:H131" si="11">MMULT($H$1,1/180)</f>
        <v>13.151061552068475</v>
      </c>
      <c r="I68" s="42">
        <f t="shared" ref="I68:I131" si="12">SUM(G68,H68)</f>
        <v>167.50172198002858</v>
      </c>
      <c r="J68" s="30">
        <f t="shared" si="5"/>
        <v>310</v>
      </c>
      <c r="K68" s="195"/>
      <c r="L68" s="27">
        <f t="shared" ref="L68:L131" si="13">SUM(I68,J68,K68)</f>
        <v>477.50172198002861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2495446</v>
      </c>
      <c r="E69" s="1">
        <v>2498041</v>
      </c>
      <c r="F69" s="41">
        <f t="shared" si="9"/>
        <v>2.5950000000000002</v>
      </c>
      <c r="G69" s="22">
        <f t="shared" si="10"/>
        <v>10.146931241084168</v>
      </c>
      <c r="H69" s="45">
        <f t="shared" si="11"/>
        <v>13.151061552068475</v>
      </c>
      <c r="I69" s="42">
        <f t="shared" si="12"/>
        <v>23.297992793152645</v>
      </c>
      <c r="J69" s="30">
        <f t="shared" ref="J69:J132" si="14">SUM($J$3)</f>
        <v>310</v>
      </c>
      <c r="K69" s="195"/>
      <c r="L69" s="27">
        <f t="shared" si="13"/>
        <v>333.29799279315262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2439154</v>
      </c>
      <c r="E70" s="1">
        <v>2452193</v>
      </c>
      <c r="F70" s="41">
        <f t="shared" si="9"/>
        <v>13.039</v>
      </c>
      <c r="G70" s="22">
        <f t="shared" si="10"/>
        <v>50.984908074179749</v>
      </c>
      <c r="H70" s="45">
        <f t="shared" si="11"/>
        <v>13.151061552068475</v>
      </c>
      <c r="I70" s="42">
        <f t="shared" si="12"/>
        <v>64.135969626248226</v>
      </c>
      <c r="J70" s="30">
        <f t="shared" si="14"/>
        <v>310</v>
      </c>
      <c r="K70" s="195"/>
      <c r="L70" s="27">
        <f t="shared" si="13"/>
        <v>374.1359696262482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3908364</v>
      </c>
      <c r="E71" s="1">
        <v>3919875</v>
      </c>
      <c r="F71" s="41">
        <f t="shared" si="9"/>
        <v>11.511000000000001</v>
      </c>
      <c r="G71" s="22">
        <f t="shared" si="10"/>
        <v>45.010144707560634</v>
      </c>
      <c r="H71" s="45">
        <f t="shared" si="11"/>
        <v>13.151061552068475</v>
      </c>
      <c r="I71" s="42">
        <f t="shared" si="12"/>
        <v>58.161206259629111</v>
      </c>
      <c r="J71" s="30">
        <f t="shared" si="14"/>
        <v>310</v>
      </c>
      <c r="K71" s="195"/>
      <c r="L71" s="27">
        <f t="shared" si="13"/>
        <v>368.16120625962913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3134228</v>
      </c>
      <c r="E72" s="1">
        <v>3151596</v>
      </c>
      <c r="F72" s="41">
        <f t="shared" si="9"/>
        <v>17.368000000000002</v>
      </c>
      <c r="G72" s="22">
        <f t="shared" si="10"/>
        <v>67.912100884450794</v>
      </c>
      <c r="H72" s="45">
        <f t="shared" si="11"/>
        <v>13.151061552068475</v>
      </c>
      <c r="I72" s="42">
        <f t="shared" si="12"/>
        <v>81.063162436519264</v>
      </c>
      <c r="J72" s="30">
        <f t="shared" si="14"/>
        <v>310</v>
      </c>
      <c r="K72" s="195"/>
      <c r="L72" s="27">
        <f t="shared" si="13"/>
        <v>391.06316243651929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3490891</v>
      </c>
      <c r="E73" s="1">
        <v>3502961</v>
      </c>
      <c r="F73" s="41">
        <f t="shared" si="9"/>
        <v>12.07</v>
      </c>
      <c r="G73" s="22">
        <f t="shared" si="10"/>
        <v>47.195938373751787</v>
      </c>
      <c r="H73" s="45">
        <f t="shared" si="11"/>
        <v>13.151061552068475</v>
      </c>
      <c r="I73" s="42">
        <f t="shared" si="12"/>
        <v>60.346999925820263</v>
      </c>
      <c r="J73" s="30">
        <f t="shared" si="14"/>
        <v>310</v>
      </c>
      <c r="K73" s="195"/>
      <c r="L73" s="27">
        <f t="shared" si="13"/>
        <v>370.34699992582028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1485154</v>
      </c>
      <c r="E74" s="1">
        <v>1492452</v>
      </c>
      <c r="F74" s="41">
        <f t="shared" si="9"/>
        <v>7.298</v>
      </c>
      <c r="G74" s="22">
        <f t="shared" si="10"/>
        <v>28.536533409415124</v>
      </c>
      <c r="H74" s="45">
        <f t="shared" si="11"/>
        <v>13.151061552068475</v>
      </c>
      <c r="I74" s="42">
        <f t="shared" si="12"/>
        <v>41.687594961483597</v>
      </c>
      <c r="J74" s="30">
        <f t="shared" si="14"/>
        <v>310</v>
      </c>
      <c r="K74" s="195">
        <v>10</v>
      </c>
      <c r="L74" s="27">
        <f t="shared" si="13"/>
        <v>361.68759496148357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4770353</v>
      </c>
      <c r="E75" s="1">
        <v>4783750</v>
      </c>
      <c r="F75" s="41">
        <f t="shared" si="9"/>
        <v>13.397</v>
      </c>
      <c r="G75" s="22">
        <f t="shared" si="10"/>
        <v>52.384754465049937</v>
      </c>
      <c r="H75" s="45">
        <f t="shared" si="11"/>
        <v>13.151061552068475</v>
      </c>
      <c r="I75" s="42">
        <f t="shared" si="12"/>
        <v>65.535816017118407</v>
      </c>
      <c r="J75" s="30">
        <f t="shared" si="14"/>
        <v>310</v>
      </c>
      <c r="K75" s="195"/>
      <c r="L75" s="27">
        <f t="shared" si="13"/>
        <v>375.53581601711841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2937823</v>
      </c>
      <c r="E76" s="1">
        <v>2957637</v>
      </c>
      <c r="F76" s="41">
        <f t="shared" si="9"/>
        <v>19.814</v>
      </c>
      <c r="G76" s="22">
        <f t="shared" si="10"/>
        <v>77.476414493580606</v>
      </c>
      <c r="H76" s="45">
        <f t="shared" si="11"/>
        <v>13.151061552068475</v>
      </c>
      <c r="I76" s="42">
        <f t="shared" si="12"/>
        <v>90.627476045649075</v>
      </c>
      <c r="J76" s="30">
        <f t="shared" si="14"/>
        <v>310</v>
      </c>
      <c r="K76" s="195">
        <v>10</v>
      </c>
      <c r="L76" s="27">
        <f t="shared" si="13"/>
        <v>410.62747604564908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2721060</v>
      </c>
      <c r="E77" s="1">
        <v>2746084</v>
      </c>
      <c r="F77" s="41">
        <f t="shared" si="9"/>
        <v>25.024000000000001</v>
      </c>
      <c r="G77" s="22">
        <f t="shared" si="10"/>
        <v>97.848480684736103</v>
      </c>
      <c r="H77" s="45">
        <f t="shared" si="11"/>
        <v>13.151061552068475</v>
      </c>
      <c r="I77" s="42">
        <f t="shared" si="12"/>
        <v>110.99954223680457</v>
      </c>
      <c r="J77" s="30">
        <f t="shared" si="14"/>
        <v>310</v>
      </c>
      <c r="K77" s="195"/>
      <c r="L77" s="27">
        <f t="shared" si="13"/>
        <v>420.99954223680459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2779159</v>
      </c>
      <c r="E78" s="1">
        <v>2789860</v>
      </c>
      <c r="F78" s="41">
        <f t="shared" si="9"/>
        <v>10.701000000000001</v>
      </c>
      <c r="G78" s="22">
        <f t="shared" si="10"/>
        <v>41.842894493580609</v>
      </c>
      <c r="H78" s="45">
        <f t="shared" si="11"/>
        <v>13.151061552068475</v>
      </c>
      <c r="I78" s="42">
        <f t="shared" si="12"/>
        <v>54.993956045649085</v>
      </c>
      <c r="J78" s="30">
        <f t="shared" si="14"/>
        <v>310</v>
      </c>
      <c r="K78" s="195"/>
      <c r="L78" s="27">
        <f t="shared" si="13"/>
        <v>364.9939560456491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4738169</v>
      </c>
      <c r="E79" s="1">
        <v>4765525</v>
      </c>
      <c r="F79" s="41">
        <f t="shared" si="9"/>
        <v>27.356000000000002</v>
      </c>
      <c r="G79" s="22">
        <f t="shared" si="10"/>
        <v>106.9670331526391</v>
      </c>
      <c r="H79" s="45">
        <f t="shared" si="11"/>
        <v>13.151061552068475</v>
      </c>
      <c r="I79" s="42">
        <f t="shared" si="12"/>
        <v>120.11809470470757</v>
      </c>
      <c r="J79" s="30">
        <f t="shared" si="14"/>
        <v>310</v>
      </c>
      <c r="K79" s="195"/>
      <c r="L79" s="27">
        <f t="shared" si="13"/>
        <v>430.11809470470757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4958114</v>
      </c>
      <c r="E80" s="1">
        <v>4969219</v>
      </c>
      <c r="F80" s="41">
        <f t="shared" si="9"/>
        <v>11.105</v>
      </c>
      <c r="G80" s="22">
        <f t="shared" si="10"/>
        <v>43.422609415121265</v>
      </c>
      <c r="H80" s="45">
        <f t="shared" si="11"/>
        <v>13.151061552068475</v>
      </c>
      <c r="I80" s="42">
        <f t="shared" si="12"/>
        <v>56.573670967189742</v>
      </c>
      <c r="J80" s="30">
        <f t="shared" si="14"/>
        <v>310</v>
      </c>
      <c r="K80" s="195"/>
      <c r="L80" s="27">
        <f t="shared" si="13"/>
        <v>366.57367096718974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3170231</v>
      </c>
      <c r="E81" s="1">
        <v>3190107</v>
      </c>
      <c r="F81" s="41">
        <f t="shared" si="9"/>
        <v>19.876000000000001</v>
      </c>
      <c r="G81" s="22">
        <f t="shared" si="10"/>
        <v>77.718845991440816</v>
      </c>
      <c r="H81" s="45">
        <f t="shared" si="11"/>
        <v>13.151061552068475</v>
      </c>
      <c r="I81" s="42">
        <f t="shared" si="12"/>
        <v>90.869907543509285</v>
      </c>
      <c r="J81" s="30">
        <f t="shared" si="14"/>
        <v>310</v>
      </c>
      <c r="K81" s="195"/>
      <c r="L81" s="27">
        <f t="shared" si="13"/>
        <v>400.86990754350927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3528450</v>
      </c>
      <c r="E82" s="1">
        <v>3551150</v>
      </c>
      <c r="F82" s="41">
        <f t="shared" si="9"/>
        <v>22.7</v>
      </c>
      <c r="G82" s="22">
        <f t="shared" si="10"/>
        <v>88.761209700427969</v>
      </c>
      <c r="H82" s="45">
        <f t="shared" si="11"/>
        <v>13.151061552068475</v>
      </c>
      <c r="I82" s="42">
        <f t="shared" si="12"/>
        <v>101.91227125249644</v>
      </c>
      <c r="J82" s="30">
        <f t="shared" si="14"/>
        <v>310</v>
      </c>
      <c r="K82" s="195"/>
      <c r="L82" s="27">
        <f t="shared" si="13"/>
        <v>411.91227125249645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4828227</v>
      </c>
      <c r="E83" s="1">
        <v>4863964</v>
      </c>
      <c r="F83" s="41">
        <f t="shared" si="9"/>
        <v>35.737000000000002</v>
      </c>
      <c r="G83" s="22">
        <f t="shared" si="10"/>
        <v>139.738297403709</v>
      </c>
      <c r="H83" s="45">
        <f t="shared" si="11"/>
        <v>13.151061552068475</v>
      </c>
      <c r="I83" s="42">
        <f t="shared" si="12"/>
        <v>152.88935895577748</v>
      </c>
      <c r="J83" s="30">
        <f t="shared" si="14"/>
        <v>310</v>
      </c>
      <c r="K83" s="195"/>
      <c r="L83" s="27">
        <f t="shared" si="13"/>
        <v>462.88935895577748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1868816</v>
      </c>
      <c r="E84" s="1">
        <v>1888753</v>
      </c>
      <c r="F84" s="41">
        <f t="shared" si="9"/>
        <v>19.937000000000001</v>
      </c>
      <c r="G84" s="22">
        <f t="shared" si="10"/>
        <v>77.957367303851655</v>
      </c>
      <c r="H84" s="45">
        <f t="shared" si="11"/>
        <v>13.151061552068475</v>
      </c>
      <c r="I84" s="42">
        <f t="shared" si="12"/>
        <v>91.108428855920124</v>
      </c>
      <c r="J84" s="30">
        <f t="shared" si="14"/>
        <v>310</v>
      </c>
      <c r="K84" s="195"/>
      <c r="L84" s="27">
        <f t="shared" si="13"/>
        <v>401.10842885592012</v>
      </c>
    </row>
    <row r="85" spans="1:12" ht="15" customHeight="1" x14ac:dyDescent="0.45">
      <c r="A85" s="318"/>
      <c r="B85" s="5" t="s">
        <v>7</v>
      </c>
      <c r="C85" s="2">
        <v>103</v>
      </c>
      <c r="D85" s="1">
        <v>3014652</v>
      </c>
      <c r="E85" s="1">
        <v>3037665</v>
      </c>
      <c r="F85" s="41">
        <f t="shared" si="9"/>
        <v>23.013000000000002</v>
      </c>
      <c r="G85" s="22">
        <f t="shared" si="10"/>
        <v>89.985097746077045</v>
      </c>
      <c r="H85" s="45">
        <f t="shared" si="11"/>
        <v>13.151061552068475</v>
      </c>
      <c r="I85" s="42">
        <f t="shared" si="12"/>
        <v>103.13615929814551</v>
      </c>
      <c r="J85" s="30">
        <f t="shared" si="14"/>
        <v>310</v>
      </c>
      <c r="K85" s="195"/>
      <c r="L85" s="27">
        <f t="shared" si="13"/>
        <v>413.13615929814551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2641998</v>
      </c>
      <c r="E86" s="1">
        <v>2659362</v>
      </c>
      <c r="F86" s="41">
        <f t="shared" si="9"/>
        <v>17.364000000000001</v>
      </c>
      <c r="G86" s="22">
        <f t="shared" si="10"/>
        <v>67.896460142653368</v>
      </c>
      <c r="H86" s="45">
        <f t="shared" si="11"/>
        <v>13.151061552068475</v>
      </c>
      <c r="I86" s="42">
        <f t="shared" si="12"/>
        <v>81.047521694721837</v>
      </c>
      <c r="J86" s="30">
        <f t="shared" si="14"/>
        <v>310</v>
      </c>
      <c r="K86" s="195"/>
      <c r="L86" s="27">
        <f t="shared" si="13"/>
        <v>391.04752169472181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5228087</v>
      </c>
      <c r="E87" s="1">
        <v>5254214</v>
      </c>
      <c r="F87" s="41">
        <f t="shared" si="9"/>
        <v>26.126999999999999</v>
      </c>
      <c r="G87" s="22">
        <f t="shared" si="10"/>
        <v>102.16141523537804</v>
      </c>
      <c r="H87" s="45">
        <f t="shared" si="11"/>
        <v>13.151061552068475</v>
      </c>
      <c r="I87" s="42">
        <f t="shared" si="12"/>
        <v>115.31247678744651</v>
      </c>
      <c r="J87" s="30">
        <f t="shared" si="14"/>
        <v>310</v>
      </c>
      <c r="K87" s="195"/>
      <c r="L87" s="27">
        <f t="shared" si="13"/>
        <v>425.31247678744649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27515</v>
      </c>
      <c r="E88" s="1">
        <v>28336</v>
      </c>
      <c r="F88" s="41">
        <f>(E88-D88)*0.01</f>
        <v>8.2100000000000009</v>
      </c>
      <c r="G88" s="22">
        <f t="shared" si="10"/>
        <v>32.102622539229678</v>
      </c>
      <c r="H88" s="45">
        <f t="shared" si="11"/>
        <v>13.151061552068475</v>
      </c>
      <c r="I88" s="42">
        <f t="shared" si="12"/>
        <v>45.253684091298155</v>
      </c>
      <c r="J88" s="30">
        <f t="shared" si="14"/>
        <v>310</v>
      </c>
      <c r="K88" s="195">
        <v>10</v>
      </c>
      <c r="L88" s="27">
        <f t="shared" si="13"/>
        <v>365.25368409129817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4548147</v>
      </c>
      <c r="E89" s="1">
        <v>4581362</v>
      </c>
      <c r="F89" s="41">
        <f>(E89-D89)*$N$1</f>
        <v>33.215000000000003</v>
      </c>
      <c r="G89" s="22">
        <f t="shared" si="10"/>
        <v>129.876809700428</v>
      </c>
      <c r="H89" s="45">
        <f t="shared" si="11"/>
        <v>13.151061552068475</v>
      </c>
      <c r="I89" s="42">
        <f t="shared" si="12"/>
        <v>143.02787125249648</v>
      </c>
      <c r="J89" s="30">
        <f t="shared" si="14"/>
        <v>310</v>
      </c>
      <c r="K89" s="195"/>
      <c r="L89" s="27">
        <f t="shared" si="13"/>
        <v>453.02787125249648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133146</v>
      </c>
      <c r="E90" s="1">
        <v>133153</v>
      </c>
      <c r="F90" s="41">
        <f>(E90-D90)*0.01</f>
        <v>7.0000000000000007E-2</v>
      </c>
      <c r="G90" s="22">
        <f t="shared" si="10"/>
        <v>0.27371298145506423</v>
      </c>
      <c r="H90" s="45">
        <f t="shared" si="11"/>
        <v>13.151061552068475</v>
      </c>
      <c r="I90" s="42">
        <f t="shared" si="12"/>
        <v>13.424774533523539</v>
      </c>
      <c r="J90" s="30">
        <f t="shared" si="14"/>
        <v>310</v>
      </c>
      <c r="K90" s="195"/>
      <c r="L90" s="27">
        <f t="shared" si="13"/>
        <v>323.42477453352353</v>
      </c>
    </row>
    <row r="91" spans="1:12" ht="15" customHeight="1" x14ac:dyDescent="0.45">
      <c r="A91" s="318"/>
      <c r="B91" s="5" t="s">
        <v>7</v>
      </c>
      <c r="C91" s="2">
        <v>301</v>
      </c>
      <c r="D91" s="1">
        <v>5057569</v>
      </c>
      <c r="E91" s="1">
        <v>5083640</v>
      </c>
      <c r="F91" s="41">
        <f t="shared" ref="F91:F103" si="15">(E91-D91)*$N$1</f>
        <v>26.071000000000002</v>
      </c>
      <c r="G91" s="22">
        <f t="shared" si="10"/>
        <v>101.942444850214</v>
      </c>
      <c r="H91" s="45">
        <f t="shared" si="11"/>
        <v>13.151061552068475</v>
      </c>
      <c r="I91" s="42">
        <f t="shared" si="12"/>
        <v>115.09350640228247</v>
      </c>
      <c r="J91" s="30">
        <f t="shared" si="14"/>
        <v>310</v>
      </c>
      <c r="K91" s="195"/>
      <c r="L91" s="27">
        <f t="shared" si="13"/>
        <v>425.09350640228246</v>
      </c>
    </row>
    <row r="92" spans="1:12" ht="15" customHeight="1" x14ac:dyDescent="0.45">
      <c r="A92" s="318"/>
      <c r="B92" s="5" t="s">
        <v>7</v>
      </c>
      <c r="C92" s="2">
        <v>302</v>
      </c>
      <c r="D92" s="1">
        <v>35132</v>
      </c>
      <c r="E92" s="1">
        <v>68968</v>
      </c>
      <c r="F92" s="41">
        <f t="shared" si="15"/>
        <v>33.835999999999999</v>
      </c>
      <c r="G92" s="22">
        <f t="shared" si="10"/>
        <v>132.30503486447932</v>
      </c>
      <c r="H92" s="45">
        <f t="shared" si="11"/>
        <v>13.151061552068475</v>
      </c>
      <c r="I92" s="42">
        <f t="shared" si="12"/>
        <v>145.45609641654781</v>
      </c>
      <c r="J92" s="30">
        <f t="shared" si="14"/>
        <v>310</v>
      </c>
      <c r="K92" s="195"/>
      <c r="L92" s="27">
        <f t="shared" si="13"/>
        <v>455.45609641654778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4865605</v>
      </c>
      <c r="E93" s="1">
        <v>4908306</v>
      </c>
      <c r="F93" s="41">
        <f t="shared" si="15"/>
        <v>42.701000000000001</v>
      </c>
      <c r="G93" s="22">
        <f t="shared" si="10"/>
        <v>166.96882887303855</v>
      </c>
      <c r="H93" s="45">
        <f t="shared" si="11"/>
        <v>13.151061552068475</v>
      </c>
      <c r="I93" s="42">
        <f t="shared" si="12"/>
        <v>180.11989042510703</v>
      </c>
      <c r="J93" s="30">
        <f t="shared" si="14"/>
        <v>310</v>
      </c>
      <c r="K93" s="195">
        <v>10</v>
      </c>
      <c r="L93" s="27">
        <f t="shared" si="13"/>
        <v>500.11989042510703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2480188</v>
      </c>
      <c r="E94" s="1">
        <v>2488885</v>
      </c>
      <c r="F94" s="41">
        <f t="shared" si="15"/>
        <v>8.697000000000001</v>
      </c>
      <c r="G94" s="22">
        <f t="shared" si="10"/>
        <v>34.006882853067054</v>
      </c>
      <c r="H94" s="45">
        <f t="shared" si="11"/>
        <v>13.151061552068475</v>
      </c>
      <c r="I94" s="42">
        <f t="shared" si="12"/>
        <v>47.157944405135531</v>
      </c>
      <c r="J94" s="30">
        <f t="shared" si="14"/>
        <v>310</v>
      </c>
      <c r="K94" s="195"/>
      <c r="L94" s="27">
        <f t="shared" si="13"/>
        <v>357.15794440513554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3844330</v>
      </c>
      <c r="E95" s="1">
        <v>3865167</v>
      </c>
      <c r="F95" s="41">
        <f t="shared" si="15"/>
        <v>20.837</v>
      </c>
      <c r="G95" s="22">
        <f t="shared" si="10"/>
        <v>81.476534208273904</v>
      </c>
      <c r="H95" s="45">
        <f t="shared" si="11"/>
        <v>13.151061552068475</v>
      </c>
      <c r="I95" s="42">
        <f t="shared" si="12"/>
        <v>94.627595760342373</v>
      </c>
      <c r="J95" s="30">
        <f t="shared" si="14"/>
        <v>310</v>
      </c>
      <c r="K95" s="195"/>
      <c r="L95" s="27">
        <f t="shared" si="13"/>
        <v>404.62759576034239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3306103</v>
      </c>
      <c r="E96" s="1">
        <v>3319470</v>
      </c>
      <c r="F96" s="41">
        <f t="shared" si="15"/>
        <v>13.367000000000001</v>
      </c>
      <c r="G96" s="22">
        <f t="shared" si="10"/>
        <v>52.267448901569196</v>
      </c>
      <c r="H96" s="45">
        <f t="shared" si="11"/>
        <v>13.151061552068475</v>
      </c>
      <c r="I96" s="42">
        <f t="shared" si="12"/>
        <v>65.418510453637666</v>
      </c>
      <c r="J96" s="30">
        <f t="shared" si="14"/>
        <v>310</v>
      </c>
      <c r="K96" s="195"/>
      <c r="L96" s="27">
        <f t="shared" si="13"/>
        <v>375.41851045363768</v>
      </c>
    </row>
    <row r="97" spans="1:12" ht="15" customHeight="1" x14ac:dyDescent="0.45">
      <c r="A97" s="318"/>
      <c r="B97" s="5" t="s">
        <v>7</v>
      </c>
      <c r="C97" s="2">
        <v>403</v>
      </c>
      <c r="D97" s="1">
        <v>3024248</v>
      </c>
      <c r="E97" s="1">
        <v>3032637</v>
      </c>
      <c r="F97" s="41">
        <f t="shared" si="15"/>
        <v>8.3889999999999993</v>
      </c>
      <c r="G97" s="22">
        <f t="shared" si="10"/>
        <v>32.802545734664768</v>
      </c>
      <c r="H97" s="45">
        <f t="shared" si="11"/>
        <v>13.151061552068475</v>
      </c>
      <c r="I97" s="42">
        <f t="shared" si="12"/>
        <v>45.953607286733245</v>
      </c>
      <c r="J97" s="30">
        <f t="shared" si="14"/>
        <v>310</v>
      </c>
      <c r="K97" s="195"/>
      <c r="L97" s="27">
        <f t="shared" si="13"/>
        <v>355.95360728673325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3208212</v>
      </c>
      <c r="E98" s="1">
        <v>3226764</v>
      </c>
      <c r="F98" s="41">
        <f t="shared" si="15"/>
        <v>18.552</v>
      </c>
      <c r="G98" s="22">
        <f t="shared" si="10"/>
        <v>72.541760456490735</v>
      </c>
      <c r="H98" s="45">
        <f t="shared" si="11"/>
        <v>13.151061552068475</v>
      </c>
      <c r="I98" s="42">
        <f t="shared" si="12"/>
        <v>85.692822008559205</v>
      </c>
      <c r="J98" s="30">
        <f t="shared" si="14"/>
        <v>310</v>
      </c>
      <c r="K98" s="195"/>
      <c r="L98" s="27">
        <f t="shared" si="13"/>
        <v>395.69282200855923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2779148</v>
      </c>
      <c r="E99" s="1">
        <v>2799905</v>
      </c>
      <c r="F99" s="41">
        <f t="shared" si="15"/>
        <v>20.757000000000001</v>
      </c>
      <c r="G99" s="22">
        <f t="shared" si="10"/>
        <v>81.163719372325261</v>
      </c>
      <c r="H99" s="45">
        <f t="shared" si="11"/>
        <v>13.151061552068475</v>
      </c>
      <c r="I99" s="42">
        <f t="shared" si="12"/>
        <v>94.31478092439373</v>
      </c>
      <c r="J99" s="30">
        <f t="shared" si="14"/>
        <v>310</v>
      </c>
      <c r="K99" s="195"/>
      <c r="L99" s="27">
        <f t="shared" si="13"/>
        <v>404.31478092439374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2544439</v>
      </c>
      <c r="E100" s="1">
        <v>2552723</v>
      </c>
      <c r="F100" s="41">
        <f t="shared" si="15"/>
        <v>8.2840000000000007</v>
      </c>
      <c r="G100" s="22">
        <f t="shared" si="10"/>
        <v>32.391976262482174</v>
      </c>
      <c r="H100" s="45">
        <f t="shared" si="11"/>
        <v>13.151061552068475</v>
      </c>
      <c r="I100" s="42">
        <f t="shared" si="12"/>
        <v>45.543037814550651</v>
      </c>
      <c r="J100" s="30">
        <f t="shared" si="14"/>
        <v>310</v>
      </c>
      <c r="K100" s="195"/>
      <c r="L100" s="27">
        <f t="shared" si="13"/>
        <v>355.54303781455064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3164269</v>
      </c>
      <c r="E101" s="1">
        <v>3181548</v>
      </c>
      <c r="F101" s="41">
        <f t="shared" si="15"/>
        <v>17.279</v>
      </c>
      <c r="G101" s="22">
        <f t="shared" si="10"/>
        <v>67.564094379457927</v>
      </c>
      <c r="H101" s="45">
        <f t="shared" si="11"/>
        <v>13.151061552068475</v>
      </c>
      <c r="I101" s="42">
        <f t="shared" si="12"/>
        <v>80.715155931526397</v>
      </c>
      <c r="J101" s="30">
        <f t="shared" si="14"/>
        <v>310</v>
      </c>
      <c r="K101" s="195">
        <v>10</v>
      </c>
      <c r="L101" s="27">
        <f t="shared" si="13"/>
        <v>400.7151559315264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4143033</v>
      </c>
      <c r="E102" s="1">
        <v>4160087</v>
      </c>
      <c r="F102" s="41">
        <f t="shared" si="15"/>
        <v>17.054000000000002</v>
      </c>
      <c r="G102" s="22">
        <f t="shared" si="10"/>
        <v>66.684302653352376</v>
      </c>
      <c r="H102" s="45">
        <f t="shared" si="11"/>
        <v>13.151061552068475</v>
      </c>
      <c r="I102" s="42">
        <f t="shared" si="12"/>
        <v>79.835364205420845</v>
      </c>
      <c r="J102" s="30">
        <f t="shared" si="14"/>
        <v>310</v>
      </c>
      <c r="K102" s="195"/>
      <c r="L102" s="27">
        <f t="shared" si="13"/>
        <v>389.83536420542083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3823669</v>
      </c>
      <c r="E103" s="1">
        <v>3856452</v>
      </c>
      <c r="F103" s="41">
        <f t="shared" si="15"/>
        <v>32.783000000000001</v>
      </c>
      <c r="G103" s="22">
        <f t="shared" si="10"/>
        <v>128.18760958630529</v>
      </c>
      <c r="H103" s="45">
        <f t="shared" si="11"/>
        <v>13.151061552068475</v>
      </c>
      <c r="I103" s="42">
        <f t="shared" si="12"/>
        <v>141.33867113837377</v>
      </c>
      <c r="J103" s="30">
        <f t="shared" si="14"/>
        <v>310</v>
      </c>
      <c r="K103" s="195">
        <v>10</v>
      </c>
      <c r="L103" s="27">
        <f t="shared" si="13"/>
        <v>461.3386711383738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157717</v>
      </c>
      <c r="E104" s="1">
        <v>160238</v>
      </c>
      <c r="F104" s="41">
        <f>(E104-D104)*0.01</f>
        <v>25.21</v>
      </c>
      <c r="G104" s="22">
        <f t="shared" si="10"/>
        <v>98.575775178316704</v>
      </c>
      <c r="H104" s="45">
        <f t="shared" si="11"/>
        <v>13.151061552068475</v>
      </c>
      <c r="I104" s="42">
        <f t="shared" si="12"/>
        <v>111.72683673038517</v>
      </c>
      <c r="J104" s="30">
        <f t="shared" si="14"/>
        <v>310</v>
      </c>
      <c r="K104" s="195"/>
      <c r="L104" s="27">
        <f t="shared" si="13"/>
        <v>421.72683673038517</v>
      </c>
    </row>
    <row r="105" spans="1:12" ht="15" customHeight="1" x14ac:dyDescent="0.45">
      <c r="A105" s="314"/>
      <c r="B105" s="5" t="s">
        <v>8</v>
      </c>
      <c r="C105" s="2">
        <v>103</v>
      </c>
      <c r="D105" s="1">
        <v>84585</v>
      </c>
      <c r="E105" s="1">
        <v>100668</v>
      </c>
      <c r="F105" s="41">
        <f t="shared" ref="F105:F123" si="16">(E105-D105)*$N$1</f>
        <v>16.083000000000002</v>
      </c>
      <c r="G105" s="22">
        <f t="shared" si="10"/>
        <v>62.887512582025693</v>
      </c>
      <c r="H105" s="45">
        <f t="shared" si="11"/>
        <v>13.151061552068475</v>
      </c>
      <c r="I105" s="42">
        <f t="shared" si="12"/>
        <v>76.038574134094162</v>
      </c>
      <c r="J105" s="30">
        <f t="shared" si="14"/>
        <v>310</v>
      </c>
      <c r="K105" s="195"/>
      <c r="L105" s="27">
        <f t="shared" si="13"/>
        <v>386.03857413409418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443756</v>
      </c>
      <c r="E106" s="1">
        <v>443912</v>
      </c>
      <c r="F106" s="41">
        <f t="shared" si="16"/>
        <v>0.156</v>
      </c>
      <c r="G106" s="22">
        <f t="shared" si="10"/>
        <v>0.60998893009985744</v>
      </c>
      <c r="H106" s="45">
        <f t="shared" si="11"/>
        <v>13.151061552068475</v>
      </c>
      <c r="I106" s="42">
        <f t="shared" si="12"/>
        <v>13.761050482168333</v>
      </c>
      <c r="J106" s="30">
        <f t="shared" si="14"/>
        <v>310</v>
      </c>
      <c r="K106" s="195"/>
      <c r="L106" s="27">
        <f t="shared" si="13"/>
        <v>323.76105048216834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11777</v>
      </c>
      <c r="E107" s="1">
        <v>11777</v>
      </c>
      <c r="F107" s="41">
        <f t="shared" si="16"/>
        <v>0</v>
      </c>
      <c r="G107" s="22">
        <f t="shared" si="10"/>
        <v>0</v>
      </c>
      <c r="H107" s="45">
        <f t="shared" si="11"/>
        <v>13.151061552068475</v>
      </c>
      <c r="I107" s="42">
        <f t="shared" si="12"/>
        <v>13.151061552068475</v>
      </c>
      <c r="J107" s="30">
        <f t="shared" si="14"/>
        <v>310</v>
      </c>
      <c r="K107" s="195"/>
      <c r="L107" s="27">
        <f t="shared" si="13"/>
        <v>323.15106155206848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149448</v>
      </c>
      <c r="E108" s="1">
        <v>168677</v>
      </c>
      <c r="F108" s="41">
        <f t="shared" si="16"/>
        <v>19.228999999999999</v>
      </c>
      <c r="G108" s="22">
        <f t="shared" si="10"/>
        <v>75.188956005706146</v>
      </c>
      <c r="H108" s="45">
        <f t="shared" si="11"/>
        <v>13.151061552068475</v>
      </c>
      <c r="I108" s="42">
        <f t="shared" si="12"/>
        <v>88.340017557774615</v>
      </c>
      <c r="J108" s="30">
        <f t="shared" si="14"/>
        <v>310</v>
      </c>
      <c r="K108" s="195"/>
      <c r="L108" s="27">
        <f t="shared" si="13"/>
        <v>398.34001755777462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3594623</v>
      </c>
      <c r="E109" s="1">
        <v>3604189</v>
      </c>
      <c r="F109" s="41">
        <f t="shared" si="16"/>
        <v>9.5660000000000007</v>
      </c>
      <c r="G109" s="22">
        <f t="shared" si="10"/>
        <v>37.404834008559206</v>
      </c>
      <c r="H109" s="45">
        <f t="shared" si="11"/>
        <v>13.151061552068475</v>
      </c>
      <c r="I109" s="42">
        <f t="shared" si="12"/>
        <v>50.555895560627683</v>
      </c>
      <c r="J109" s="30">
        <f t="shared" si="14"/>
        <v>310</v>
      </c>
      <c r="K109" s="195"/>
      <c r="L109" s="27">
        <f t="shared" si="13"/>
        <v>360.55589556062768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1945910</v>
      </c>
      <c r="E110" s="1">
        <v>1957698</v>
      </c>
      <c r="F110" s="41">
        <f t="shared" si="16"/>
        <v>11.788</v>
      </c>
      <c r="G110" s="22">
        <f t="shared" si="10"/>
        <v>46.093266077032816</v>
      </c>
      <c r="H110" s="45">
        <f t="shared" si="11"/>
        <v>13.151061552068475</v>
      </c>
      <c r="I110" s="42">
        <f t="shared" si="12"/>
        <v>59.244327629101292</v>
      </c>
      <c r="J110" s="30">
        <f t="shared" si="14"/>
        <v>310</v>
      </c>
      <c r="K110" s="195"/>
      <c r="L110" s="27">
        <f t="shared" si="13"/>
        <v>369.24432762910129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3654859</v>
      </c>
      <c r="E111" s="1">
        <v>3668615</v>
      </c>
      <c r="F111" s="41">
        <f t="shared" si="16"/>
        <v>13.756</v>
      </c>
      <c r="G111" s="22">
        <f t="shared" si="10"/>
        <v>53.788511041369482</v>
      </c>
      <c r="H111" s="45">
        <f t="shared" si="11"/>
        <v>13.151061552068475</v>
      </c>
      <c r="I111" s="42">
        <f t="shared" si="12"/>
        <v>66.939572593437958</v>
      </c>
      <c r="J111" s="30">
        <f t="shared" si="14"/>
        <v>310</v>
      </c>
      <c r="K111" s="195"/>
      <c r="L111" s="27">
        <f t="shared" si="13"/>
        <v>376.93957259343796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3346593</v>
      </c>
      <c r="E112" s="1">
        <v>3355001</v>
      </c>
      <c r="F112" s="41">
        <f t="shared" si="16"/>
        <v>8.4079999999999995</v>
      </c>
      <c r="G112" s="22">
        <f t="shared" si="10"/>
        <v>32.876839258202573</v>
      </c>
      <c r="H112" s="45">
        <f t="shared" si="11"/>
        <v>13.151061552068475</v>
      </c>
      <c r="I112" s="42">
        <f t="shared" si="12"/>
        <v>46.027900810271049</v>
      </c>
      <c r="J112" s="30">
        <f t="shared" si="14"/>
        <v>310</v>
      </c>
      <c r="K112" s="195"/>
      <c r="L112" s="27">
        <f t="shared" si="13"/>
        <v>356.02790081027103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3681346</v>
      </c>
      <c r="E113" s="1">
        <v>3712906</v>
      </c>
      <c r="F113" s="41">
        <f t="shared" si="16"/>
        <v>31.560000000000002</v>
      </c>
      <c r="G113" s="22">
        <f t="shared" si="10"/>
        <v>123.40545278174039</v>
      </c>
      <c r="H113" s="45">
        <f t="shared" si="11"/>
        <v>13.151061552068475</v>
      </c>
      <c r="I113" s="42">
        <f t="shared" si="12"/>
        <v>136.55651433380888</v>
      </c>
      <c r="J113" s="30">
        <f t="shared" si="14"/>
        <v>310</v>
      </c>
      <c r="K113" s="195"/>
      <c r="L113" s="27">
        <f t="shared" si="13"/>
        <v>446.55651433380888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39655</v>
      </c>
      <c r="E114" s="1">
        <v>50493</v>
      </c>
      <c r="F114" s="41">
        <f t="shared" si="16"/>
        <v>10.838000000000001</v>
      </c>
      <c r="G114" s="22">
        <f t="shared" si="10"/>
        <v>42.378589900142664</v>
      </c>
      <c r="H114" s="45">
        <f t="shared" si="11"/>
        <v>13.151061552068475</v>
      </c>
      <c r="I114" s="42">
        <f t="shared" si="12"/>
        <v>55.529651452211141</v>
      </c>
      <c r="J114" s="30">
        <f t="shared" si="14"/>
        <v>310</v>
      </c>
      <c r="K114" s="195"/>
      <c r="L114" s="27">
        <f t="shared" si="13"/>
        <v>365.52965145221117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2794527</v>
      </c>
      <c r="E115" s="1">
        <v>2805311</v>
      </c>
      <c r="F115" s="41">
        <f t="shared" si="16"/>
        <v>10.784000000000001</v>
      </c>
      <c r="G115" s="22">
        <f t="shared" si="10"/>
        <v>42.167439885877329</v>
      </c>
      <c r="H115" s="45">
        <f t="shared" si="11"/>
        <v>13.151061552068475</v>
      </c>
      <c r="I115" s="42">
        <f t="shared" si="12"/>
        <v>55.318501437945805</v>
      </c>
      <c r="J115" s="30">
        <f t="shared" si="14"/>
        <v>310</v>
      </c>
      <c r="K115" s="195"/>
      <c r="L115" s="27">
        <f t="shared" si="13"/>
        <v>365.31850143794583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6818</v>
      </c>
      <c r="E116" s="1">
        <v>6824</v>
      </c>
      <c r="F116" s="41">
        <f t="shared" si="16"/>
        <v>6.0000000000000001E-3</v>
      </c>
      <c r="G116" s="22">
        <f t="shared" si="10"/>
        <v>2.3461112696148364E-2</v>
      </c>
      <c r="H116" s="45">
        <f t="shared" si="11"/>
        <v>13.151061552068475</v>
      </c>
      <c r="I116" s="42">
        <f t="shared" si="12"/>
        <v>13.174522664764623</v>
      </c>
      <c r="J116" s="30">
        <f t="shared" si="14"/>
        <v>310</v>
      </c>
      <c r="K116" s="195"/>
      <c r="L116" s="27">
        <f t="shared" si="13"/>
        <v>323.17452266476459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532952</v>
      </c>
      <c r="E117" s="1">
        <v>533355</v>
      </c>
      <c r="F117" s="41">
        <f t="shared" si="16"/>
        <v>0.40300000000000002</v>
      </c>
      <c r="G117" s="22">
        <f t="shared" si="10"/>
        <v>1.5758047360912983</v>
      </c>
      <c r="H117" s="45">
        <f t="shared" si="11"/>
        <v>13.151061552068475</v>
      </c>
      <c r="I117" s="42">
        <f t="shared" si="12"/>
        <v>14.726866288159773</v>
      </c>
      <c r="J117" s="30">
        <f t="shared" si="14"/>
        <v>310</v>
      </c>
      <c r="K117" s="195"/>
      <c r="L117" s="27">
        <f t="shared" si="13"/>
        <v>324.72686628815978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2732864</v>
      </c>
      <c r="E118" s="1">
        <v>2752330</v>
      </c>
      <c r="F118" s="41">
        <f t="shared" si="16"/>
        <v>19.466000000000001</v>
      </c>
      <c r="G118" s="22">
        <f t="shared" si="10"/>
        <v>76.115669957204005</v>
      </c>
      <c r="H118" s="45">
        <f t="shared" si="11"/>
        <v>13.151061552068475</v>
      </c>
      <c r="I118" s="42">
        <f t="shared" si="12"/>
        <v>89.266731509272475</v>
      </c>
      <c r="J118" s="30">
        <f t="shared" si="14"/>
        <v>310</v>
      </c>
      <c r="K118" s="195">
        <v>10</v>
      </c>
      <c r="L118" s="27">
        <f t="shared" si="13"/>
        <v>409.26673150927246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2784203</v>
      </c>
      <c r="E119" s="1">
        <v>2808768</v>
      </c>
      <c r="F119" s="41">
        <f t="shared" si="16"/>
        <v>24.565000000000001</v>
      </c>
      <c r="G119" s="22">
        <f t="shared" si="10"/>
        <v>96.053705563480761</v>
      </c>
      <c r="H119" s="45">
        <f t="shared" si="11"/>
        <v>13.151061552068475</v>
      </c>
      <c r="I119" s="42">
        <f t="shared" si="12"/>
        <v>109.20476711554923</v>
      </c>
      <c r="J119" s="30">
        <f t="shared" si="14"/>
        <v>310</v>
      </c>
      <c r="K119" s="195"/>
      <c r="L119" s="27">
        <f t="shared" si="13"/>
        <v>419.2047671155492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5896240</v>
      </c>
      <c r="E120" s="1">
        <v>5935593</v>
      </c>
      <c r="F120" s="41">
        <f t="shared" si="16"/>
        <v>39.353000000000002</v>
      </c>
      <c r="G120" s="22">
        <f t="shared" si="10"/>
        <v>153.87752798858776</v>
      </c>
      <c r="H120" s="45">
        <f t="shared" si="11"/>
        <v>13.151061552068475</v>
      </c>
      <c r="I120" s="42">
        <f t="shared" si="12"/>
        <v>167.02858954065624</v>
      </c>
      <c r="J120" s="30">
        <f t="shared" si="14"/>
        <v>310</v>
      </c>
      <c r="K120" s="195"/>
      <c r="L120" s="27">
        <f t="shared" si="13"/>
        <v>477.02858954065624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90992</v>
      </c>
      <c r="E121" s="1">
        <v>105975</v>
      </c>
      <c r="F121" s="41">
        <f t="shared" si="16"/>
        <v>14.983000000000001</v>
      </c>
      <c r="G121" s="22">
        <f t="shared" si="10"/>
        <v>58.586308587731821</v>
      </c>
      <c r="H121" s="45">
        <f t="shared" si="11"/>
        <v>13.151061552068475</v>
      </c>
      <c r="I121" s="42">
        <f t="shared" si="12"/>
        <v>71.737370139800291</v>
      </c>
      <c r="J121" s="30">
        <f t="shared" si="14"/>
        <v>310</v>
      </c>
      <c r="K121" s="195"/>
      <c r="L121" s="27">
        <f t="shared" si="13"/>
        <v>381.7373701398003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4338096</v>
      </c>
      <c r="E122" s="1">
        <v>4363536</v>
      </c>
      <c r="F122" s="41">
        <f t="shared" si="16"/>
        <v>25.44</v>
      </c>
      <c r="G122" s="22">
        <f t="shared" si="10"/>
        <v>99.475117831669067</v>
      </c>
      <c r="H122" s="45">
        <f t="shared" si="11"/>
        <v>13.151061552068475</v>
      </c>
      <c r="I122" s="42">
        <f t="shared" si="12"/>
        <v>112.62617938373754</v>
      </c>
      <c r="J122" s="30">
        <f t="shared" si="14"/>
        <v>310</v>
      </c>
      <c r="K122" s="195"/>
      <c r="L122" s="27">
        <f t="shared" si="13"/>
        <v>422.62617938373751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41797</v>
      </c>
      <c r="E123" s="1">
        <v>49965</v>
      </c>
      <c r="F123" s="41">
        <f t="shared" si="16"/>
        <v>8.168000000000001</v>
      </c>
      <c r="G123" s="22">
        <f t="shared" si="10"/>
        <v>31.93839475035664</v>
      </c>
      <c r="H123" s="45">
        <f t="shared" si="11"/>
        <v>13.151061552068475</v>
      </c>
      <c r="I123" s="42">
        <f t="shared" si="12"/>
        <v>45.089456302425113</v>
      </c>
      <c r="J123" s="30">
        <f t="shared" si="14"/>
        <v>310</v>
      </c>
      <c r="K123" s="195"/>
      <c r="L123" s="27">
        <f t="shared" si="13"/>
        <v>355.08945630242511</v>
      </c>
    </row>
    <row r="124" spans="1:12" ht="15" customHeight="1" x14ac:dyDescent="0.45">
      <c r="A124" s="318"/>
      <c r="B124" s="159" t="s">
        <v>9</v>
      </c>
      <c r="C124" s="2">
        <v>102</v>
      </c>
      <c r="D124" s="1">
        <v>23418</v>
      </c>
      <c r="E124" s="1">
        <v>23657</v>
      </c>
      <c r="F124" s="41">
        <f>(E124-D124)*0.01</f>
        <v>2.39</v>
      </c>
      <c r="G124" s="22">
        <f>MMULT($G$1,1/$F$183)*F124</f>
        <v>9.3453432239657648</v>
      </c>
      <c r="H124" s="45">
        <f t="shared" si="11"/>
        <v>13.151061552068475</v>
      </c>
      <c r="I124" s="42">
        <f t="shared" si="12"/>
        <v>22.49640477603424</v>
      </c>
      <c r="J124" s="30">
        <f t="shared" si="14"/>
        <v>310</v>
      </c>
      <c r="K124" s="195"/>
      <c r="L124" s="27">
        <f t="shared" si="13"/>
        <v>332.49640477603424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2957321</v>
      </c>
      <c r="E125" s="1">
        <v>2985726</v>
      </c>
      <c r="F125" s="41">
        <f t="shared" ref="F125:F182" si="17">(E125-D125)*$N$1</f>
        <v>28.405000000000001</v>
      </c>
      <c r="G125" s="22">
        <f t="shared" si="10"/>
        <v>111.0688176890157</v>
      </c>
      <c r="H125" s="45">
        <f t="shared" si="11"/>
        <v>13.151061552068475</v>
      </c>
      <c r="I125" s="42">
        <f t="shared" si="12"/>
        <v>124.21987924108417</v>
      </c>
      <c r="J125" s="30">
        <f t="shared" si="14"/>
        <v>310</v>
      </c>
      <c r="K125" s="195">
        <v>10</v>
      </c>
      <c r="L125" s="27">
        <f t="shared" si="13"/>
        <v>444.21987924108419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2900684</v>
      </c>
      <c r="E126" s="1">
        <v>2919375</v>
      </c>
      <c r="F126" s="41">
        <f t="shared" si="17"/>
        <v>18.690999999999999</v>
      </c>
      <c r="G126" s="22">
        <f t="shared" si="10"/>
        <v>73.085276233951504</v>
      </c>
      <c r="H126" s="45">
        <f t="shared" si="11"/>
        <v>13.151061552068475</v>
      </c>
      <c r="I126" s="42">
        <f t="shared" si="12"/>
        <v>86.236337786019973</v>
      </c>
      <c r="J126" s="30">
        <f t="shared" si="14"/>
        <v>310</v>
      </c>
      <c r="K126" s="195"/>
      <c r="L126" s="27">
        <f t="shared" si="13"/>
        <v>396.23633778601999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2629323</v>
      </c>
      <c r="E127" s="1">
        <v>2638373</v>
      </c>
      <c r="F127" s="41">
        <f t="shared" si="17"/>
        <v>9.0500000000000007</v>
      </c>
      <c r="G127" s="22">
        <f t="shared" si="10"/>
        <v>35.387178316690452</v>
      </c>
      <c r="H127" s="45">
        <f t="shared" si="11"/>
        <v>13.151061552068475</v>
      </c>
      <c r="I127" s="42">
        <f t="shared" si="12"/>
        <v>48.538239868758929</v>
      </c>
      <c r="J127" s="30">
        <f t="shared" si="14"/>
        <v>310</v>
      </c>
      <c r="K127" s="195"/>
      <c r="L127" s="27">
        <f t="shared" si="13"/>
        <v>358.53823986875892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4764593</v>
      </c>
      <c r="E128" s="1">
        <v>4780006</v>
      </c>
      <c r="F128" s="41">
        <f t="shared" si="17"/>
        <v>15.413</v>
      </c>
      <c r="G128" s="22">
        <f t="shared" si="10"/>
        <v>60.267688330955785</v>
      </c>
      <c r="H128" s="45">
        <f t="shared" si="11"/>
        <v>13.151061552068475</v>
      </c>
      <c r="I128" s="42">
        <f t="shared" si="12"/>
        <v>73.418749883024262</v>
      </c>
      <c r="J128" s="30">
        <f t="shared" si="14"/>
        <v>310</v>
      </c>
      <c r="K128" s="195"/>
      <c r="L128" s="27">
        <f t="shared" si="13"/>
        <v>383.41874988302425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2044059</v>
      </c>
      <c r="E129" s="1">
        <v>2044059</v>
      </c>
      <c r="F129" s="41">
        <f t="shared" si="17"/>
        <v>0</v>
      </c>
      <c r="G129" s="22">
        <f t="shared" si="10"/>
        <v>0</v>
      </c>
      <c r="H129" s="45">
        <f t="shared" si="11"/>
        <v>13.151061552068475</v>
      </c>
      <c r="I129" s="42">
        <f t="shared" si="12"/>
        <v>13.151061552068475</v>
      </c>
      <c r="J129" s="30">
        <f t="shared" si="14"/>
        <v>310</v>
      </c>
      <c r="K129" s="195"/>
      <c r="L129" s="27">
        <f t="shared" si="13"/>
        <v>323.15106155206848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2930021</v>
      </c>
      <c r="E130" s="1">
        <v>2938180</v>
      </c>
      <c r="F130" s="41">
        <f t="shared" si="17"/>
        <v>8.1590000000000007</v>
      </c>
      <c r="G130" s="22">
        <f t="shared" si="10"/>
        <v>31.903203081312416</v>
      </c>
      <c r="H130" s="45">
        <f t="shared" si="11"/>
        <v>13.151061552068475</v>
      </c>
      <c r="I130" s="42">
        <f t="shared" si="12"/>
        <v>45.054264633380889</v>
      </c>
      <c r="J130" s="30">
        <f t="shared" si="14"/>
        <v>310</v>
      </c>
      <c r="K130" s="195"/>
      <c r="L130" s="27">
        <f t="shared" si="13"/>
        <v>355.05426463338091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3043602</v>
      </c>
      <c r="E131" s="1">
        <v>3058851</v>
      </c>
      <c r="F131" s="41">
        <f t="shared" si="17"/>
        <v>15.249000000000001</v>
      </c>
      <c r="G131" s="22">
        <f t="shared" si="10"/>
        <v>59.626417917261065</v>
      </c>
      <c r="H131" s="45">
        <f t="shared" si="11"/>
        <v>13.151061552068475</v>
      </c>
      <c r="I131" s="42">
        <f t="shared" si="12"/>
        <v>72.777479469329535</v>
      </c>
      <c r="J131" s="30">
        <f t="shared" si="14"/>
        <v>310</v>
      </c>
      <c r="K131" s="195"/>
      <c r="L131" s="27">
        <f t="shared" si="13"/>
        <v>382.77747946932953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1872572</v>
      </c>
      <c r="E132" s="1">
        <v>1885554</v>
      </c>
      <c r="F132" s="41">
        <f t="shared" si="17"/>
        <v>12.982000000000001</v>
      </c>
      <c r="G132" s="22">
        <f t="shared" ref="G132:G182" si="18">MMULT($G$1,1/$F$183)*F132</f>
        <v>50.762027503566344</v>
      </c>
      <c r="H132" s="45">
        <f t="shared" ref="H132:H181" si="19">MMULT($H$1,1/180)</f>
        <v>13.151061552068475</v>
      </c>
      <c r="I132" s="42">
        <f t="shared" ref="I132:I182" si="20">SUM(G132,H132)</f>
        <v>63.913089055634821</v>
      </c>
      <c r="J132" s="30">
        <f t="shared" si="14"/>
        <v>310</v>
      </c>
      <c r="K132" s="195"/>
      <c r="L132" s="27">
        <f t="shared" ref="L132:L182" si="21">SUM(I132,J132,K132)</f>
        <v>373.91308905563483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3431600</v>
      </c>
      <c r="E133" s="1">
        <v>3451757</v>
      </c>
      <c r="F133" s="41">
        <f t="shared" si="17"/>
        <v>20.157</v>
      </c>
      <c r="G133" s="22">
        <f t="shared" si="18"/>
        <v>78.817608102710423</v>
      </c>
      <c r="H133" s="45">
        <f t="shared" si="19"/>
        <v>13.151061552068475</v>
      </c>
      <c r="I133" s="42">
        <f t="shared" si="20"/>
        <v>91.968669654778893</v>
      </c>
      <c r="J133" s="30">
        <f t="shared" ref="J133:J182" si="22">SUM($J$3)</f>
        <v>310</v>
      </c>
      <c r="K133" s="195"/>
      <c r="L133" s="27">
        <f t="shared" si="21"/>
        <v>401.96866965477886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4007379</v>
      </c>
      <c r="E134" s="1">
        <v>4026131</v>
      </c>
      <c r="F134" s="41">
        <f t="shared" si="17"/>
        <v>18.751999999999999</v>
      </c>
      <c r="G134" s="22">
        <f t="shared" si="18"/>
        <v>73.323797546362343</v>
      </c>
      <c r="H134" s="45">
        <f t="shared" si="19"/>
        <v>13.151061552068475</v>
      </c>
      <c r="I134" s="42">
        <f t="shared" si="20"/>
        <v>86.474859098430812</v>
      </c>
      <c r="J134" s="30">
        <f t="shared" si="22"/>
        <v>310</v>
      </c>
      <c r="K134" s="195"/>
      <c r="L134" s="27">
        <f t="shared" si="21"/>
        <v>396.47485909843078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1918286</v>
      </c>
      <c r="E135" s="1">
        <v>1925795</v>
      </c>
      <c r="F135" s="41">
        <f t="shared" si="17"/>
        <v>7.5090000000000003</v>
      </c>
      <c r="G135" s="22">
        <f t="shared" si="18"/>
        <v>29.361582539229676</v>
      </c>
      <c r="H135" s="45">
        <f t="shared" si="19"/>
        <v>13.151061552068475</v>
      </c>
      <c r="I135" s="42">
        <f t="shared" si="20"/>
        <v>42.512644091298149</v>
      </c>
      <c r="J135" s="30">
        <f t="shared" si="22"/>
        <v>310</v>
      </c>
      <c r="K135" s="195"/>
      <c r="L135" s="27">
        <f t="shared" si="21"/>
        <v>352.51264409129817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2014227</v>
      </c>
      <c r="E136" s="1">
        <v>2016822</v>
      </c>
      <c r="F136" s="41">
        <f t="shared" si="17"/>
        <v>2.5950000000000002</v>
      </c>
      <c r="G136" s="22">
        <f t="shared" si="18"/>
        <v>10.146931241084168</v>
      </c>
      <c r="H136" s="45">
        <f t="shared" si="19"/>
        <v>13.151061552068475</v>
      </c>
      <c r="I136" s="42">
        <f t="shared" si="20"/>
        <v>23.297992793152645</v>
      </c>
      <c r="J136" s="30">
        <f t="shared" si="22"/>
        <v>310</v>
      </c>
      <c r="K136" s="195"/>
      <c r="L136" s="27">
        <f t="shared" si="21"/>
        <v>333.29799279315262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4513655</v>
      </c>
      <c r="E137" s="1">
        <v>4534555</v>
      </c>
      <c r="F137" s="41">
        <f t="shared" si="17"/>
        <v>20.900000000000002</v>
      </c>
      <c r="G137" s="22">
        <f t="shared" si="18"/>
        <v>81.72287589158347</v>
      </c>
      <c r="H137" s="45">
        <f t="shared" si="19"/>
        <v>13.151061552068475</v>
      </c>
      <c r="I137" s="42">
        <f t="shared" si="20"/>
        <v>94.87393744365194</v>
      </c>
      <c r="J137" s="30">
        <f t="shared" si="22"/>
        <v>310</v>
      </c>
      <c r="K137" s="195"/>
      <c r="L137" s="27">
        <f t="shared" si="21"/>
        <v>404.87393744365193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2472573</v>
      </c>
      <c r="E138" s="1">
        <v>2490595</v>
      </c>
      <c r="F138" s="41">
        <f t="shared" si="17"/>
        <v>18.022000000000002</v>
      </c>
      <c r="G138" s="22">
        <f t="shared" si="18"/>
        <v>70.469362168330974</v>
      </c>
      <c r="H138" s="45">
        <f t="shared" si="19"/>
        <v>13.151061552068475</v>
      </c>
      <c r="I138" s="42">
        <f t="shared" si="20"/>
        <v>83.620423720399444</v>
      </c>
      <c r="J138" s="30">
        <f t="shared" si="22"/>
        <v>310</v>
      </c>
      <c r="K138" s="195"/>
      <c r="L138" s="27">
        <f t="shared" si="21"/>
        <v>393.62042372039946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3121567</v>
      </c>
      <c r="E139" s="1">
        <v>3138239</v>
      </c>
      <c r="F139" s="41">
        <f t="shared" si="17"/>
        <v>16.672000000000001</v>
      </c>
      <c r="G139" s="22">
        <f t="shared" si="18"/>
        <v>65.190611811697579</v>
      </c>
      <c r="H139" s="45">
        <f t="shared" si="19"/>
        <v>13.151061552068475</v>
      </c>
      <c r="I139" s="42">
        <f t="shared" si="20"/>
        <v>78.341673363766049</v>
      </c>
      <c r="J139" s="30">
        <f t="shared" si="22"/>
        <v>310</v>
      </c>
      <c r="K139" s="195"/>
      <c r="L139" s="27">
        <f t="shared" si="21"/>
        <v>388.34167336376606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3032138</v>
      </c>
      <c r="E140" s="1">
        <v>3036979</v>
      </c>
      <c r="F140" s="41">
        <f t="shared" si="17"/>
        <v>4.8410000000000002</v>
      </c>
      <c r="G140" s="22">
        <f t="shared" si="18"/>
        <v>18.929207760342372</v>
      </c>
      <c r="H140" s="45">
        <f t="shared" si="19"/>
        <v>13.151061552068475</v>
      </c>
      <c r="I140" s="42">
        <f t="shared" si="20"/>
        <v>32.080269312410849</v>
      </c>
      <c r="J140" s="30">
        <f t="shared" si="22"/>
        <v>310</v>
      </c>
      <c r="K140" s="195"/>
      <c r="L140" s="27">
        <f t="shared" si="21"/>
        <v>342.08026931241085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3005456</v>
      </c>
      <c r="E141" s="1">
        <v>3015128</v>
      </c>
      <c r="F141" s="41">
        <f t="shared" si="17"/>
        <v>9.6720000000000006</v>
      </c>
      <c r="G141" s="22">
        <f t="shared" si="18"/>
        <v>37.819313666191164</v>
      </c>
      <c r="H141" s="45">
        <f t="shared" si="19"/>
        <v>13.151061552068475</v>
      </c>
      <c r="I141" s="42">
        <f t="shared" si="20"/>
        <v>50.97037521825964</v>
      </c>
      <c r="J141" s="30">
        <f t="shared" si="22"/>
        <v>310</v>
      </c>
      <c r="K141" s="195"/>
      <c r="L141" s="27">
        <f>SUM(I141,J141,K141)</f>
        <v>360.97037521825962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3071296</v>
      </c>
      <c r="E142" s="1">
        <v>3075438</v>
      </c>
      <c r="F142" s="41">
        <f t="shared" si="17"/>
        <v>4.1420000000000003</v>
      </c>
      <c r="G142" s="22">
        <f t="shared" si="18"/>
        <v>16.195988131241087</v>
      </c>
      <c r="H142" s="45">
        <f t="shared" si="19"/>
        <v>13.151061552068475</v>
      </c>
      <c r="I142" s="42">
        <f t="shared" si="20"/>
        <v>29.347049683309564</v>
      </c>
      <c r="J142" s="30">
        <f t="shared" si="22"/>
        <v>310</v>
      </c>
      <c r="K142" s="195"/>
      <c r="L142" s="27">
        <f t="shared" si="21"/>
        <v>339.34704968330959</v>
      </c>
    </row>
    <row r="143" spans="1:12" x14ac:dyDescent="0.45">
      <c r="A143" s="314"/>
      <c r="B143" s="5" t="s">
        <v>10</v>
      </c>
      <c r="C143" s="2">
        <v>101</v>
      </c>
      <c r="D143" s="1">
        <v>3722623</v>
      </c>
      <c r="E143" s="1">
        <v>3739113</v>
      </c>
      <c r="F143" s="41">
        <f t="shared" si="17"/>
        <v>16.490000000000002</v>
      </c>
      <c r="G143" s="22">
        <f t="shared" si="18"/>
        <v>64.478958059914419</v>
      </c>
      <c r="H143" s="45">
        <f t="shared" si="19"/>
        <v>13.151061552068475</v>
      </c>
      <c r="I143" s="42">
        <f t="shared" si="20"/>
        <v>77.630019611982888</v>
      </c>
      <c r="J143" s="30">
        <f t="shared" si="22"/>
        <v>310</v>
      </c>
      <c r="K143" s="195"/>
      <c r="L143" s="27">
        <f t="shared" si="21"/>
        <v>387.6300196119829</v>
      </c>
    </row>
    <row r="144" spans="1:12" x14ac:dyDescent="0.45">
      <c r="A144" s="314"/>
      <c r="B144" s="5" t="s">
        <v>10</v>
      </c>
      <c r="C144" s="2">
        <v>102</v>
      </c>
      <c r="D144" s="1">
        <v>7161</v>
      </c>
      <c r="E144" s="1">
        <v>11555</v>
      </c>
      <c r="F144" s="41">
        <f t="shared" si="17"/>
        <v>4.3940000000000001</v>
      </c>
      <c r="G144" s="22">
        <f t="shared" si="18"/>
        <v>17.181354864479317</v>
      </c>
      <c r="H144" s="45">
        <f t="shared" si="19"/>
        <v>13.151061552068475</v>
      </c>
      <c r="I144" s="42">
        <f t="shared" si="20"/>
        <v>30.332416416547794</v>
      </c>
      <c r="J144" s="30">
        <f t="shared" si="22"/>
        <v>310</v>
      </c>
      <c r="K144" s="195"/>
      <c r="L144" s="27">
        <f t="shared" si="21"/>
        <v>340.3324164165478</v>
      </c>
    </row>
    <row r="145" spans="1:12" x14ac:dyDescent="0.45">
      <c r="A145" s="314"/>
      <c r="B145" s="5" t="s">
        <v>10</v>
      </c>
      <c r="C145" s="2">
        <v>103</v>
      </c>
      <c r="D145" s="1">
        <v>3969517</v>
      </c>
      <c r="E145" s="1">
        <v>3976301</v>
      </c>
      <c r="F145" s="41">
        <f t="shared" si="17"/>
        <v>6.7839999999999998</v>
      </c>
      <c r="G145" s="22">
        <f t="shared" si="18"/>
        <v>26.52669808844508</v>
      </c>
      <c r="H145" s="45">
        <f t="shared" si="19"/>
        <v>13.151061552068475</v>
      </c>
      <c r="I145" s="42">
        <f t="shared" si="20"/>
        <v>39.677759640513557</v>
      </c>
      <c r="J145" s="30">
        <f t="shared" si="22"/>
        <v>310</v>
      </c>
      <c r="K145" s="195"/>
      <c r="L145" s="27">
        <f t="shared" si="21"/>
        <v>349.67775964051356</v>
      </c>
    </row>
    <row r="146" spans="1:12" x14ac:dyDescent="0.45">
      <c r="A146" s="314"/>
      <c r="B146" s="5" t="s">
        <v>10</v>
      </c>
      <c r="C146" s="2">
        <v>104</v>
      </c>
      <c r="D146" s="1">
        <v>2981947</v>
      </c>
      <c r="E146" s="1">
        <v>2998122</v>
      </c>
      <c r="F146" s="41">
        <f t="shared" si="17"/>
        <v>16.175000000000001</v>
      </c>
      <c r="G146" s="22">
        <f t="shared" si="18"/>
        <v>63.247249643366629</v>
      </c>
      <c r="H146" s="45">
        <f t="shared" si="19"/>
        <v>13.151061552068475</v>
      </c>
      <c r="I146" s="42">
        <f t="shared" si="20"/>
        <v>76.398311195435099</v>
      </c>
      <c r="J146" s="30">
        <f t="shared" si="22"/>
        <v>310</v>
      </c>
      <c r="K146" s="195"/>
      <c r="L146" s="27">
        <f t="shared" si="21"/>
        <v>386.3983111954351</v>
      </c>
    </row>
    <row r="147" spans="1:12" x14ac:dyDescent="0.45">
      <c r="A147" s="314"/>
      <c r="B147" s="5" t="s">
        <v>10</v>
      </c>
      <c r="C147" s="2">
        <v>201</v>
      </c>
      <c r="D147" s="1">
        <v>5402031</v>
      </c>
      <c r="E147" s="1">
        <v>5439698</v>
      </c>
      <c r="F147" s="41">
        <f t="shared" si="17"/>
        <v>37.667000000000002</v>
      </c>
      <c r="G147" s="22">
        <f t="shared" si="18"/>
        <v>147.28495532097006</v>
      </c>
      <c r="H147" s="45">
        <f t="shared" si="19"/>
        <v>13.151061552068475</v>
      </c>
      <c r="I147" s="42">
        <f t="shared" si="20"/>
        <v>160.43601687303854</v>
      </c>
      <c r="J147" s="30">
        <f t="shared" si="22"/>
        <v>310</v>
      </c>
      <c r="K147" s="195"/>
      <c r="L147" s="27">
        <f t="shared" si="21"/>
        <v>470.43601687303851</v>
      </c>
    </row>
    <row r="148" spans="1:12" x14ac:dyDescent="0.45">
      <c r="A148" s="314"/>
      <c r="B148" s="5" t="s">
        <v>10</v>
      </c>
      <c r="C148" s="2">
        <v>202</v>
      </c>
      <c r="D148" s="1">
        <v>3416664</v>
      </c>
      <c r="E148" s="1">
        <v>3434305</v>
      </c>
      <c r="F148" s="41">
        <f t="shared" si="17"/>
        <v>17.641000000000002</v>
      </c>
      <c r="G148" s="22">
        <f t="shared" si="18"/>
        <v>68.979581512125549</v>
      </c>
      <c r="H148" s="45">
        <f t="shared" si="19"/>
        <v>13.151061552068475</v>
      </c>
      <c r="I148" s="42">
        <f t="shared" si="20"/>
        <v>82.130643064194018</v>
      </c>
      <c r="J148" s="30">
        <f t="shared" si="22"/>
        <v>310</v>
      </c>
      <c r="K148" s="195"/>
      <c r="L148" s="27">
        <f t="shared" si="21"/>
        <v>392.13064306419403</v>
      </c>
    </row>
    <row r="149" spans="1:12" x14ac:dyDescent="0.45">
      <c r="A149" s="314"/>
      <c r="B149" s="5" t="s">
        <v>10</v>
      </c>
      <c r="C149" s="2">
        <v>203</v>
      </c>
      <c r="D149" s="1">
        <v>3457111</v>
      </c>
      <c r="E149" s="1">
        <v>3469767</v>
      </c>
      <c r="F149" s="41">
        <f t="shared" si="17"/>
        <v>12.656000000000001</v>
      </c>
      <c r="G149" s="22">
        <f t="shared" si="18"/>
        <v>49.48730704707561</v>
      </c>
      <c r="H149" s="45">
        <f t="shared" si="19"/>
        <v>13.151061552068475</v>
      </c>
      <c r="I149" s="42">
        <f t="shared" si="20"/>
        <v>62.638368599144087</v>
      </c>
      <c r="J149" s="30">
        <f t="shared" si="22"/>
        <v>310</v>
      </c>
      <c r="K149" s="195"/>
      <c r="L149" s="27">
        <f t="shared" si="21"/>
        <v>372.63836859914409</v>
      </c>
    </row>
    <row r="150" spans="1:12" x14ac:dyDescent="0.45">
      <c r="A150" s="314"/>
      <c r="B150" s="5" t="s">
        <v>10</v>
      </c>
      <c r="C150" s="2">
        <v>204</v>
      </c>
      <c r="D150" s="1">
        <v>1915964</v>
      </c>
      <c r="E150" s="1">
        <v>1920840</v>
      </c>
      <c r="F150" s="41">
        <f t="shared" si="17"/>
        <v>4.8760000000000003</v>
      </c>
      <c r="G150" s="22">
        <f t="shared" si="18"/>
        <v>19.066064251069903</v>
      </c>
      <c r="H150" s="45">
        <f t="shared" si="19"/>
        <v>13.151061552068475</v>
      </c>
      <c r="I150" s="42">
        <f t="shared" si="20"/>
        <v>32.21712580313838</v>
      </c>
      <c r="J150" s="30">
        <f t="shared" si="22"/>
        <v>310</v>
      </c>
      <c r="K150" s="195"/>
      <c r="L150" s="27">
        <f t="shared" si="21"/>
        <v>342.2171258031384</v>
      </c>
    </row>
    <row r="151" spans="1:12" x14ac:dyDescent="0.45">
      <c r="A151" s="314"/>
      <c r="B151" s="5" t="s">
        <v>10</v>
      </c>
      <c r="C151" s="2">
        <v>301</v>
      </c>
      <c r="D151" s="1">
        <v>2366987</v>
      </c>
      <c r="E151" s="1">
        <v>2381003</v>
      </c>
      <c r="F151" s="41">
        <f t="shared" si="17"/>
        <v>14.016</v>
      </c>
      <c r="G151" s="22">
        <f t="shared" si="18"/>
        <v>54.805159258202572</v>
      </c>
      <c r="H151" s="45">
        <f t="shared" si="19"/>
        <v>13.151061552068475</v>
      </c>
      <c r="I151" s="42">
        <f t="shared" si="20"/>
        <v>67.956220810271049</v>
      </c>
      <c r="J151" s="30">
        <f t="shared" si="22"/>
        <v>310</v>
      </c>
      <c r="K151" s="195"/>
      <c r="L151" s="27">
        <f t="shared" si="21"/>
        <v>377.95622081027102</v>
      </c>
    </row>
    <row r="152" spans="1:12" x14ac:dyDescent="0.45">
      <c r="A152" s="314"/>
      <c r="B152" s="5" t="s">
        <v>10</v>
      </c>
      <c r="C152" s="2">
        <v>302</v>
      </c>
      <c r="D152" s="1">
        <v>4233920</v>
      </c>
      <c r="E152" s="1">
        <v>4252003</v>
      </c>
      <c r="F152" s="41">
        <f t="shared" si="17"/>
        <v>18.083000000000002</v>
      </c>
      <c r="G152" s="22">
        <f t="shared" si="18"/>
        <v>70.707883480741813</v>
      </c>
      <c r="H152" s="45">
        <f t="shared" si="19"/>
        <v>13.151061552068475</v>
      </c>
      <c r="I152" s="42">
        <f t="shared" si="20"/>
        <v>83.858945032810283</v>
      </c>
      <c r="J152" s="30">
        <f t="shared" si="22"/>
        <v>310</v>
      </c>
      <c r="K152" s="195"/>
      <c r="L152" s="27">
        <f t="shared" si="21"/>
        <v>393.85894503281031</v>
      </c>
    </row>
    <row r="153" spans="1:12" x14ac:dyDescent="0.45">
      <c r="A153" s="314"/>
      <c r="B153" s="5" t="s">
        <v>10</v>
      </c>
      <c r="C153" s="2">
        <v>303</v>
      </c>
      <c r="D153" s="1">
        <v>2653808</v>
      </c>
      <c r="E153" s="1">
        <v>2659225</v>
      </c>
      <c r="F153" s="41">
        <f t="shared" si="17"/>
        <v>5.4169999999999998</v>
      </c>
      <c r="G153" s="22">
        <f t="shared" si="18"/>
        <v>21.181474579172612</v>
      </c>
      <c r="H153" s="45">
        <f t="shared" si="19"/>
        <v>13.151061552068475</v>
      </c>
      <c r="I153" s="42">
        <f t="shared" si="20"/>
        <v>34.332536131241085</v>
      </c>
      <c r="J153" s="30">
        <f t="shared" si="22"/>
        <v>310</v>
      </c>
      <c r="K153" s="195"/>
      <c r="L153" s="27">
        <f>SUM(I153,J153,K153)</f>
        <v>344.33253613124111</v>
      </c>
    </row>
    <row r="154" spans="1:12" x14ac:dyDescent="0.45">
      <c r="A154" s="314"/>
      <c r="B154" s="5" t="s">
        <v>10</v>
      </c>
      <c r="C154" s="2">
        <v>304</v>
      </c>
      <c r="D154" s="1">
        <v>41023</v>
      </c>
      <c r="E154" s="1">
        <v>56132</v>
      </c>
      <c r="F154" s="41">
        <f t="shared" si="17"/>
        <v>15.109</v>
      </c>
      <c r="G154" s="22">
        <f t="shared" si="18"/>
        <v>59.078991954350933</v>
      </c>
      <c r="H154" s="45">
        <f t="shared" si="19"/>
        <v>13.151061552068475</v>
      </c>
      <c r="I154" s="42">
        <f t="shared" si="20"/>
        <v>72.230053506419409</v>
      </c>
      <c r="J154" s="30">
        <f t="shared" si="22"/>
        <v>310</v>
      </c>
      <c r="K154" s="195">
        <v>300</v>
      </c>
      <c r="L154" s="27">
        <f t="shared" si="21"/>
        <v>682.23005350641938</v>
      </c>
    </row>
    <row r="155" spans="1:12" x14ac:dyDescent="0.45">
      <c r="A155" s="314"/>
      <c r="B155" s="5" t="s">
        <v>10</v>
      </c>
      <c r="C155" s="2">
        <v>401</v>
      </c>
      <c r="D155" s="1">
        <v>4984269</v>
      </c>
      <c r="E155" s="1">
        <v>5013890</v>
      </c>
      <c r="F155" s="41">
        <f t="shared" si="17"/>
        <v>29.621000000000002</v>
      </c>
      <c r="G155" s="22">
        <f t="shared" si="18"/>
        <v>115.82360319543511</v>
      </c>
      <c r="H155" s="45">
        <f t="shared" si="19"/>
        <v>13.151061552068475</v>
      </c>
      <c r="I155" s="42">
        <f t="shared" si="20"/>
        <v>128.9746647475036</v>
      </c>
      <c r="J155" s="30">
        <f t="shared" si="22"/>
        <v>310</v>
      </c>
      <c r="K155" s="195"/>
      <c r="L155" s="27">
        <f t="shared" si="21"/>
        <v>438.9746647475036</v>
      </c>
    </row>
    <row r="156" spans="1:12" x14ac:dyDescent="0.45">
      <c r="A156" s="314"/>
      <c r="B156" s="5" t="s">
        <v>10</v>
      </c>
      <c r="C156" s="2">
        <v>402</v>
      </c>
      <c r="D156" s="1">
        <v>3782561</v>
      </c>
      <c r="E156" s="1">
        <v>3801005</v>
      </c>
      <c r="F156" s="41">
        <f t="shared" si="17"/>
        <v>18.443999999999999</v>
      </c>
      <c r="G156" s="22">
        <f t="shared" si="18"/>
        <v>72.119460427960064</v>
      </c>
      <c r="H156" s="45">
        <f t="shared" si="19"/>
        <v>13.151061552068475</v>
      </c>
      <c r="I156" s="42">
        <f t="shared" si="20"/>
        <v>85.270521980028533</v>
      </c>
      <c r="J156" s="30">
        <f t="shared" si="22"/>
        <v>310</v>
      </c>
      <c r="K156" s="195"/>
      <c r="L156" s="27">
        <f t="shared" si="21"/>
        <v>395.27052198002855</v>
      </c>
    </row>
    <row r="157" spans="1:12" x14ac:dyDescent="0.45">
      <c r="A157" s="314"/>
      <c r="B157" s="5" t="s">
        <v>10</v>
      </c>
      <c r="C157" s="2">
        <v>403</v>
      </c>
      <c r="D157" s="1">
        <v>79711</v>
      </c>
      <c r="E157" s="1">
        <v>104404</v>
      </c>
      <c r="F157" s="41">
        <f t="shared" si="17"/>
        <v>24.693000000000001</v>
      </c>
      <c r="G157" s="22">
        <f t="shared" si="18"/>
        <v>96.554209300998593</v>
      </c>
      <c r="H157" s="45">
        <f t="shared" si="19"/>
        <v>13.151061552068475</v>
      </c>
      <c r="I157" s="42">
        <f t="shared" si="20"/>
        <v>109.70527085306706</v>
      </c>
      <c r="J157" s="30">
        <f t="shared" si="22"/>
        <v>310</v>
      </c>
      <c r="K157" s="195"/>
      <c r="L157" s="27">
        <f t="shared" si="21"/>
        <v>419.70527085306708</v>
      </c>
    </row>
    <row r="158" spans="1:12" x14ac:dyDescent="0.45">
      <c r="A158" s="314"/>
      <c r="B158" s="5" t="s">
        <v>10</v>
      </c>
      <c r="C158" s="2">
        <v>404</v>
      </c>
      <c r="D158" s="1">
        <v>116961</v>
      </c>
      <c r="E158" s="1">
        <v>134116</v>
      </c>
      <c r="F158" s="41">
        <f>(E158-D158)*$N$1</f>
        <v>17.155000000000001</v>
      </c>
      <c r="G158" s="22">
        <f t="shared" si="18"/>
        <v>67.079231383737536</v>
      </c>
      <c r="H158" s="45">
        <f t="shared" si="19"/>
        <v>13.151061552068475</v>
      </c>
      <c r="I158" s="42">
        <f t="shared" si="20"/>
        <v>80.230292935806006</v>
      </c>
      <c r="J158" s="30">
        <f t="shared" si="22"/>
        <v>310</v>
      </c>
      <c r="K158" s="195">
        <v>10</v>
      </c>
      <c r="L158" s="27">
        <f>SUM(I158,J158,K158)</f>
        <v>400.23029293580601</v>
      </c>
    </row>
    <row r="159" spans="1:12" x14ac:dyDescent="0.45">
      <c r="A159" s="314"/>
      <c r="B159" s="5" t="s">
        <v>10</v>
      </c>
      <c r="C159" s="2">
        <v>501</v>
      </c>
      <c r="D159" s="1">
        <v>203717</v>
      </c>
      <c r="E159" s="1">
        <v>235212</v>
      </c>
      <c r="F159" s="41">
        <f t="shared" si="17"/>
        <v>31.495000000000001</v>
      </c>
      <c r="G159" s="22">
        <f t="shared" si="18"/>
        <v>123.15129072753211</v>
      </c>
      <c r="H159" s="45">
        <f t="shared" si="19"/>
        <v>13.151061552068475</v>
      </c>
      <c r="I159" s="42">
        <f t="shared" si="20"/>
        <v>136.3023522796006</v>
      </c>
      <c r="J159" s="30">
        <f t="shared" si="22"/>
        <v>310</v>
      </c>
      <c r="K159" s="195"/>
      <c r="L159" s="27">
        <f>SUM(I159,J159,K159)</f>
        <v>446.3023522796006</v>
      </c>
    </row>
    <row r="160" spans="1:12" x14ac:dyDescent="0.45">
      <c r="A160" s="314"/>
      <c r="B160" s="5" t="s">
        <v>10</v>
      </c>
      <c r="C160" s="2">
        <v>502</v>
      </c>
      <c r="D160" s="1">
        <v>2784892</v>
      </c>
      <c r="E160" s="1">
        <v>2800667</v>
      </c>
      <c r="F160" s="41">
        <f t="shared" si="17"/>
        <v>15.775</v>
      </c>
      <c r="G160" s="22">
        <f t="shared" si="18"/>
        <v>61.683175463623407</v>
      </c>
      <c r="H160" s="45">
        <f t="shared" si="19"/>
        <v>13.151061552068475</v>
      </c>
      <c r="I160" s="42">
        <f t="shared" si="20"/>
        <v>74.834237015691883</v>
      </c>
      <c r="J160" s="30">
        <f t="shared" si="22"/>
        <v>310</v>
      </c>
      <c r="K160" s="195"/>
      <c r="L160" s="27">
        <f t="shared" si="21"/>
        <v>384.83423701569188</v>
      </c>
    </row>
    <row r="161" spans="1:12" x14ac:dyDescent="0.45">
      <c r="A161" s="314"/>
      <c r="B161" s="5" t="s">
        <v>10</v>
      </c>
      <c r="C161" s="2">
        <v>503</v>
      </c>
      <c r="D161" s="1">
        <v>3772799</v>
      </c>
      <c r="E161" s="1">
        <v>3789452</v>
      </c>
      <c r="F161" s="41">
        <f t="shared" si="17"/>
        <v>16.652999999999999</v>
      </c>
      <c r="G161" s="22">
        <f t="shared" si="18"/>
        <v>65.116318288159775</v>
      </c>
      <c r="H161" s="45">
        <f t="shared" si="19"/>
        <v>13.151061552068475</v>
      </c>
      <c r="I161" s="42">
        <f t="shared" si="20"/>
        <v>78.267379840228244</v>
      </c>
      <c r="J161" s="30">
        <f t="shared" si="22"/>
        <v>310</v>
      </c>
      <c r="K161" s="195"/>
      <c r="L161" s="27">
        <f t="shared" si="21"/>
        <v>388.26737984022827</v>
      </c>
    </row>
    <row r="162" spans="1:12" x14ac:dyDescent="0.45">
      <c r="A162" s="314"/>
      <c r="B162" s="5" t="s">
        <v>10</v>
      </c>
      <c r="C162" s="2">
        <v>504</v>
      </c>
      <c r="D162" s="1">
        <v>3609800</v>
      </c>
      <c r="E162" s="1">
        <v>3610160</v>
      </c>
      <c r="F162" s="41">
        <f t="shared" si="17"/>
        <v>0.36</v>
      </c>
      <c r="G162" s="22">
        <f t="shared" si="18"/>
        <v>1.4076667617689016</v>
      </c>
      <c r="H162" s="45">
        <f t="shared" si="19"/>
        <v>13.151061552068475</v>
      </c>
      <c r="I162" s="42">
        <f t="shared" si="20"/>
        <v>14.558728313837376</v>
      </c>
      <c r="J162" s="30">
        <f t="shared" si="22"/>
        <v>310</v>
      </c>
      <c r="K162" s="195"/>
      <c r="L162" s="27">
        <f t="shared" si="21"/>
        <v>324.55872831383738</v>
      </c>
    </row>
    <row r="163" spans="1:12" x14ac:dyDescent="0.45">
      <c r="A163" s="318"/>
      <c r="B163" s="5" t="s">
        <v>11</v>
      </c>
      <c r="C163" s="2">
        <v>101</v>
      </c>
      <c r="D163" s="1">
        <v>3054094</v>
      </c>
      <c r="E163" s="1">
        <v>3070307</v>
      </c>
      <c r="F163" s="41">
        <f t="shared" si="17"/>
        <v>16.213000000000001</v>
      </c>
      <c r="G163" s="22">
        <f t="shared" si="18"/>
        <v>63.395836690442238</v>
      </c>
      <c r="H163" s="45">
        <f t="shared" si="19"/>
        <v>13.151061552068475</v>
      </c>
      <c r="I163" s="42">
        <f t="shared" si="20"/>
        <v>76.546898242510707</v>
      </c>
      <c r="J163" s="30">
        <f t="shared" si="22"/>
        <v>310</v>
      </c>
      <c r="K163" s="195"/>
      <c r="L163" s="27">
        <f t="shared" si="21"/>
        <v>386.54689824251068</v>
      </c>
    </row>
    <row r="164" spans="1:12" x14ac:dyDescent="0.45">
      <c r="A164" s="318"/>
      <c r="B164" s="5" t="s">
        <v>11</v>
      </c>
      <c r="C164" s="2">
        <v>102</v>
      </c>
      <c r="D164" s="1">
        <v>2798528</v>
      </c>
      <c r="E164" s="1">
        <v>2821470</v>
      </c>
      <c r="F164" s="41">
        <f t="shared" si="17"/>
        <v>22.942</v>
      </c>
      <c r="G164" s="22">
        <f t="shared" si="18"/>
        <v>89.707474579172626</v>
      </c>
      <c r="H164" s="45">
        <f t="shared" si="19"/>
        <v>13.151061552068475</v>
      </c>
      <c r="I164" s="42">
        <f t="shared" si="20"/>
        <v>102.8585361312411</v>
      </c>
      <c r="J164" s="30">
        <f t="shared" si="22"/>
        <v>310</v>
      </c>
      <c r="K164" s="195">
        <v>10</v>
      </c>
      <c r="L164" s="27">
        <f t="shared" si="21"/>
        <v>422.85853613124107</v>
      </c>
    </row>
    <row r="165" spans="1:12" x14ac:dyDescent="0.45">
      <c r="A165" s="318"/>
      <c r="B165" s="5" t="s">
        <v>11</v>
      </c>
      <c r="C165" s="2">
        <v>103</v>
      </c>
      <c r="D165" s="1">
        <v>2386467</v>
      </c>
      <c r="E165" s="1">
        <v>2394415</v>
      </c>
      <c r="F165" s="41">
        <f t="shared" si="17"/>
        <v>7.9480000000000004</v>
      </c>
      <c r="G165" s="22">
        <f t="shared" si="18"/>
        <v>31.078153951497864</v>
      </c>
      <c r="H165" s="45">
        <f t="shared" si="19"/>
        <v>13.151061552068475</v>
      </c>
      <c r="I165" s="42">
        <f t="shared" si="20"/>
        <v>44.229215503566337</v>
      </c>
      <c r="J165" s="30">
        <f t="shared" si="22"/>
        <v>310</v>
      </c>
      <c r="K165" s="195"/>
      <c r="L165" s="27">
        <f t="shared" si="21"/>
        <v>354.22921550356637</v>
      </c>
    </row>
    <row r="166" spans="1:12" x14ac:dyDescent="0.45">
      <c r="A166" s="318"/>
      <c r="B166" s="5" t="s">
        <v>11</v>
      </c>
      <c r="C166" s="2">
        <v>104</v>
      </c>
      <c r="D166" s="1">
        <v>2866024</v>
      </c>
      <c r="E166" s="1">
        <v>2900830</v>
      </c>
      <c r="F166" s="41">
        <f t="shared" si="17"/>
        <v>34.805999999999997</v>
      </c>
      <c r="G166" s="22">
        <f t="shared" si="18"/>
        <v>136.09791475035664</v>
      </c>
      <c r="H166" s="45">
        <f t="shared" si="19"/>
        <v>13.151061552068475</v>
      </c>
      <c r="I166" s="42">
        <f t="shared" si="20"/>
        <v>149.24897630242512</v>
      </c>
      <c r="J166" s="30">
        <f t="shared" si="22"/>
        <v>310</v>
      </c>
      <c r="K166" s="195">
        <v>10</v>
      </c>
      <c r="L166" s="27">
        <f t="shared" si="21"/>
        <v>469.24897630242515</v>
      </c>
    </row>
    <row r="167" spans="1:12" x14ac:dyDescent="0.45">
      <c r="A167" s="318"/>
      <c r="B167" s="5" t="s">
        <v>11</v>
      </c>
      <c r="C167" s="2">
        <v>201</v>
      </c>
      <c r="D167" s="1">
        <v>2132655</v>
      </c>
      <c r="E167" s="1">
        <v>2149100</v>
      </c>
      <c r="F167" s="41">
        <f t="shared" si="17"/>
        <v>16.445</v>
      </c>
      <c r="G167" s="22">
        <f t="shared" si="18"/>
        <v>64.3029997146933</v>
      </c>
      <c r="H167" s="45">
        <f t="shared" si="19"/>
        <v>13.151061552068475</v>
      </c>
      <c r="I167" s="42">
        <f t="shared" si="20"/>
        <v>77.454061266761769</v>
      </c>
      <c r="J167" s="30">
        <f t="shared" si="22"/>
        <v>310</v>
      </c>
      <c r="K167" s="195"/>
      <c r="L167" s="27">
        <f t="shared" si="21"/>
        <v>387.45406126676176</v>
      </c>
    </row>
    <row r="168" spans="1:12" x14ac:dyDescent="0.45">
      <c r="A168" s="318"/>
      <c r="B168" s="5" t="s">
        <v>11</v>
      </c>
      <c r="C168" s="2">
        <v>202</v>
      </c>
      <c r="D168" s="1">
        <v>171330</v>
      </c>
      <c r="E168" s="1">
        <v>190768</v>
      </c>
      <c r="F168" s="41">
        <f t="shared" si="17"/>
        <v>19.437999999999999</v>
      </c>
      <c r="G168" s="22">
        <f t="shared" si="18"/>
        <v>76.006184764621977</v>
      </c>
      <c r="H168" s="45">
        <f t="shared" si="19"/>
        <v>13.151061552068475</v>
      </c>
      <c r="I168" s="42">
        <f t="shared" si="20"/>
        <v>89.157246316690447</v>
      </c>
      <c r="J168" s="30">
        <f t="shared" si="22"/>
        <v>310</v>
      </c>
      <c r="K168" s="195">
        <v>10</v>
      </c>
      <c r="L168" s="27">
        <f t="shared" si="21"/>
        <v>409.15724631669048</v>
      </c>
    </row>
    <row r="169" spans="1:12" x14ac:dyDescent="0.45">
      <c r="A169" s="318"/>
      <c r="B169" s="5" t="s">
        <v>11</v>
      </c>
      <c r="C169" s="2">
        <v>203</v>
      </c>
      <c r="D169" s="1">
        <v>2754605</v>
      </c>
      <c r="E169" s="1">
        <v>2776056</v>
      </c>
      <c r="F169" s="41">
        <f t="shared" si="17"/>
        <v>21.451000000000001</v>
      </c>
      <c r="G169" s="22">
        <f t="shared" si="18"/>
        <v>83.877388074179748</v>
      </c>
      <c r="H169" s="45">
        <f t="shared" si="19"/>
        <v>13.151061552068475</v>
      </c>
      <c r="I169" s="42">
        <f t="shared" si="20"/>
        <v>97.028449626248218</v>
      </c>
      <c r="J169" s="30">
        <f t="shared" si="22"/>
        <v>310</v>
      </c>
      <c r="K169" s="195"/>
      <c r="L169" s="27">
        <f t="shared" si="21"/>
        <v>407.02844962624823</v>
      </c>
    </row>
    <row r="170" spans="1:12" x14ac:dyDescent="0.45">
      <c r="A170" s="318"/>
      <c r="B170" s="5" t="s">
        <v>11</v>
      </c>
      <c r="C170" s="2">
        <v>204</v>
      </c>
      <c r="D170" s="1">
        <v>2361695</v>
      </c>
      <c r="E170" s="1">
        <v>2385939</v>
      </c>
      <c r="F170" s="41">
        <f t="shared" si="17"/>
        <v>24.244</v>
      </c>
      <c r="G170" s="22">
        <f t="shared" si="18"/>
        <v>94.798536034236818</v>
      </c>
      <c r="H170" s="45">
        <f t="shared" si="19"/>
        <v>13.151061552068475</v>
      </c>
      <c r="I170" s="42">
        <f t="shared" si="20"/>
        <v>107.94959758630529</v>
      </c>
      <c r="J170" s="30">
        <f t="shared" si="22"/>
        <v>310</v>
      </c>
      <c r="K170" s="195"/>
      <c r="L170" s="27">
        <f t="shared" si="21"/>
        <v>417.94959758630529</v>
      </c>
    </row>
    <row r="171" spans="1:12" x14ac:dyDescent="0.45">
      <c r="A171" s="318"/>
      <c r="B171" s="5" t="s">
        <v>11</v>
      </c>
      <c r="C171" s="2">
        <v>301</v>
      </c>
      <c r="D171" s="1">
        <v>3400259</v>
      </c>
      <c r="E171" s="1">
        <v>3412600</v>
      </c>
      <c r="F171" s="41">
        <f t="shared" si="17"/>
        <v>12.341000000000001</v>
      </c>
      <c r="G171" s="22">
        <f t="shared" si="18"/>
        <v>48.255598630527828</v>
      </c>
      <c r="H171" s="45">
        <f t="shared" si="19"/>
        <v>13.151061552068475</v>
      </c>
      <c r="I171" s="42">
        <f t="shared" si="20"/>
        <v>61.406660182596305</v>
      </c>
      <c r="J171" s="30">
        <f t="shared" si="22"/>
        <v>310</v>
      </c>
      <c r="K171" s="195"/>
      <c r="L171" s="27">
        <f t="shared" si="21"/>
        <v>371.40666018259628</v>
      </c>
    </row>
    <row r="172" spans="1:12" x14ac:dyDescent="0.45">
      <c r="A172" s="318"/>
      <c r="B172" s="5" t="s">
        <v>11</v>
      </c>
      <c r="C172" s="2">
        <v>302</v>
      </c>
      <c r="D172" s="1">
        <v>2710359</v>
      </c>
      <c r="E172" s="1">
        <v>2721814</v>
      </c>
      <c r="F172" s="41">
        <f t="shared" si="17"/>
        <v>11.455</v>
      </c>
      <c r="G172" s="22">
        <f t="shared" si="18"/>
        <v>44.791174322396579</v>
      </c>
      <c r="H172" s="45">
        <f t="shared" si="19"/>
        <v>13.151061552068475</v>
      </c>
      <c r="I172" s="42">
        <f t="shared" si="20"/>
        <v>57.942235874465055</v>
      </c>
      <c r="J172" s="30">
        <f t="shared" si="22"/>
        <v>310</v>
      </c>
      <c r="K172" s="195">
        <v>10</v>
      </c>
      <c r="L172" s="27">
        <f t="shared" si="21"/>
        <v>377.94223587446504</v>
      </c>
    </row>
    <row r="173" spans="1:12" x14ac:dyDescent="0.45">
      <c r="A173" s="318"/>
      <c r="B173" s="5" t="s">
        <v>11</v>
      </c>
      <c r="C173" s="2">
        <v>303</v>
      </c>
      <c r="D173" s="1">
        <v>2500348</v>
      </c>
      <c r="E173" s="1">
        <v>2514464</v>
      </c>
      <c r="F173" s="41">
        <f t="shared" si="17"/>
        <v>14.116</v>
      </c>
      <c r="G173" s="22">
        <f t="shared" si="18"/>
        <v>55.196177803138376</v>
      </c>
      <c r="H173" s="45">
        <f t="shared" si="19"/>
        <v>13.151061552068475</v>
      </c>
      <c r="I173" s="42">
        <f t="shared" si="20"/>
        <v>68.347239355206852</v>
      </c>
      <c r="J173" s="30">
        <f t="shared" si="22"/>
        <v>310</v>
      </c>
      <c r="K173" s="195"/>
      <c r="L173" s="27">
        <f t="shared" si="21"/>
        <v>378.34723935520685</v>
      </c>
    </row>
    <row r="174" spans="1:12" x14ac:dyDescent="0.45">
      <c r="A174" s="318"/>
      <c r="B174" s="5" t="s">
        <v>11</v>
      </c>
      <c r="C174" s="2">
        <v>304</v>
      </c>
      <c r="D174" s="1">
        <v>5357331</v>
      </c>
      <c r="E174" s="1">
        <v>5408101</v>
      </c>
      <c r="F174" s="41">
        <f t="shared" si="17"/>
        <v>50.77</v>
      </c>
      <c r="G174" s="22">
        <f t="shared" si="18"/>
        <v>198.52011526390874</v>
      </c>
      <c r="H174" s="45">
        <f t="shared" si="19"/>
        <v>13.151061552068475</v>
      </c>
      <c r="I174" s="42">
        <f t="shared" si="20"/>
        <v>211.67117681597722</v>
      </c>
      <c r="J174" s="30">
        <f t="shared" si="22"/>
        <v>310</v>
      </c>
      <c r="K174" s="195"/>
      <c r="L174" s="27">
        <f t="shared" si="21"/>
        <v>521.67117681597722</v>
      </c>
    </row>
    <row r="175" spans="1:12" x14ac:dyDescent="0.45">
      <c r="A175" s="318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13.151061552068475</v>
      </c>
      <c r="I175" s="42">
        <f t="shared" si="20"/>
        <v>13.151061552068475</v>
      </c>
      <c r="J175" s="30">
        <f t="shared" si="22"/>
        <v>310</v>
      </c>
      <c r="K175" s="195">
        <v>10</v>
      </c>
      <c r="L175" s="27">
        <f t="shared" si="21"/>
        <v>333.15106155206848</v>
      </c>
    </row>
    <row r="176" spans="1:12" x14ac:dyDescent="0.45">
      <c r="A176" s="318"/>
      <c r="B176" s="5" t="s">
        <v>11</v>
      </c>
      <c r="C176" s="2">
        <v>402</v>
      </c>
      <c r="D176" s="1">
        <v>2012784</v>
      </c>
      <c r="E176" s="1">
        <v>2022590</v>
      </c>
      <c r="F176" s="41">
        <f t="shared" si="17"/>
        <v>9.8060000000000009</v>
      </c>
      <c r="G176" s="22">
        <f t="shared" si="18"/>
        <v>38.343278516405142</v>
      </c>
      <c r="H176" s="45">
        <f t="shared" si="19"/>
        <v>13.151061552068475</v>
      </c>
      <c r="I176" s="42">
        <f t="shared" si="20"/>
        <v>51.494340068473619</v>
      </c>
      <c r="J176" s="30">
        <f t="shared" si="22"/>
        <v>310</v>
      </c>
      <c r="K176" s="195"/>
      <c r="L176" s="27">
        <f t="shared" si="21"/>
        <v>361.4943400684736</v>
      </c>
    </row>
    <row r="177" spans="1:12" x14ac:dyDescent="0.45">
      <c r="A177" s="318"/>
      <c r="B177" s="5" t="s">
        <v>11</v>
      </c>
      <c r="C177" s="2">
        <v>403</v>
      </c>
      <c r="D177" s="1">
        <v>3252996</v>
      </c>
      <c r="E177" s="1">
        <v>3269671</v>
      </c>
      <c r="F177" s="41">
        <f t="shared" si="17"/>
        <v>16.675000000000001</v>
      </c>
      <c r="G177" s="22">
        <f t="shared" si="18"/>
        <v>65.202342368045663</v>
      </c>
      <c r="H177" s="45">
        <f t="shared" si="19"/>
        <v>13.151061552068475</v>
      </c>
      <c r="I177" s="42">
        <f t="shared" si="20"/>
        <v>78.353403920114133</v>
      </c>
      <c r="J177" s="30">
        <f t="shared" si="22"/>
        <v>310</v>
      </c>
      <c r="K177" s="195"/>
      <c r="L177" s="27">
        <f t="shared" si="21"/>
        <v>388.35340392011415</v>
      </c>
    </row>
    <row r="178" spans="1:12" x14ac:dyDescent="0.45">
      <c r="A178" s="318"/>
      <c r="B178" s="5" t="s">
        <v>11</v>
      </c>
      <c r="C178" s="2">
        <v>404</v>
      </c>
      <c r="D178" s="1">
        <v>28658</v>
      </c>
      <c r="E178" s="1">
        <v>43017</v>
      </c>
      <c r="F178" s="41">
        <f t="shared" si="17"/>
        <v>14.359</v>
      </c>
      <c r="G178" s="22">
        <f t="shared" si="18"/>
        <v>56.146352867332389</v>
      </c>
      <c r="H178" s="45">
        <f t="shared" si="19"/>
        <v>13.151061552068475</v>
      </c>
      <c r="I178" s="42">
        <f t="shared" si="20"/>
        <v>69.297414419400866</v>
      </c>
      <c r="J178" s="30">
        <f t="shared" si="22"/>
        <v>310</v>
      </c>
      <c r="K178" s="195"/>
      <c r="L178" s="27">
        <f t="shared" si="21"/>
        <v>379.29741441940087</v>
      </c>
    </row>
    <row r="179" spans="1:12" x14ac:dyDescent="0.45">
      <c r="A179" s="318"/>
      <c r="B179" s="5" t="s">
        <v>11</v>
      </c>
      <c r="C179" s="2">
        <v>501</v>
      </c>
      <c r="D179" s="1">
        <v>3925343</v>
      </c>
      <c r="E179" s="1">
        <v>3950447</v>
      </c>
      <c r="F179" s="41">
        <f t="shared" si="17"/>
        <v>25.103999999999999</v>
      </c>
      <c r="G179" s="22">
        <f t="shared" si="18"/>
        <v>98.161295520684746</v>
      </c>
      <c r="H179" s="45">
        <f t="shared" si="19"/>
        <v>13.151061552068475</v>
      </c>
      <c r="I179" s="42">
        <f t="shared" si="20"/>
        <v>111.31235707275322</v>
      </c>
      <c r="J179" s="30">
        <f t="shared" si="22"/>
        <v>310</v>
      </c>
      <c r="K179" s="195">
        <v>10</v>
      </c>
      <c r="L179" s="27">
        <f t="shared" si="21"/>
        <v>431.31235707275323</v>
      </c>
    </row>
    <row r="180" spans="1:12" x14ac:dyDescent="0.45">
      <c r="A180" s="318"/>
      <c r="B180" s="5" t="s">
        <v>11</v>
      </c>
      <c r="C180" s="2">
        <v>502</v>
      </c>
      <c r="D180" s="1">
        <v>3931802</v>
      </c>
      <c r="E180" s="1">
        <v>3949528</v>
      </c>
      <c r="F180" s="41">
        <f t="shared" si="17"/>
        <v>17.725999999999999</v>
      </c>
      <c r="G180" s="22">
        <f t="shared" si="18"/>
        <v>69.311947275320975</v>
      </c>
      <c r="H180" s="45">
        <f t="shared" si="19"/>
        <v>13.151061552068475</v>
      </c>
      <c r="I180" s="42">
        <f t="shared" si="20"/>
        <v>82.463008827389444</v>
      </c>
      <c r="J180" s="30">
        <f t="shared" si="22"/>
        <v>310</v>
      </c>
      <c r="K180" s="195"/>
      <c r="L180" s="27">
        <f t="shared" si="21"/>
        <v>392.46300882738944</v>
      </c>
    </row>
    <row r="181" spans="1:12" x14ac:dyDescent="0.45">
      <c r="A181" s="318"/>
      <c r="B181" s="5" t="s">
        <v>11</v>
      </c>
      <c r="C181" s="2">
        <v>503</v>
      </c>
      <c r="D181" s="1">
        <v>2401741</v>
      </c>
      <c r="E181" s="1">
        <v>2412632</v>
      </c>
      <c r="F181" s="41">
        <f t="shared" si="17"/>
        <v>10.891</v>
      </c>
      <c r="G181" s="22">
        <f t="shared" si="18"/>
        <v>42.585829728958636</v>
      </c>
      <c r="H181" s="45">
        <f t="shared" si="19"/>
        <v>13.151061552068475</v>
      </c>
      <c r="I181" s="42">
        <f>SUM(G181,H181)</f>
        <v>55.736891281027113</v>
      </c>
      <c r="J181" s="30">
        <f t="shared" si="22"/>
        <v>310</v>
      </c>
      <c r="K181" s="195"/>
      <c r="L181" s="27">
        <f t="shared" si="21"/>
        <v>365.73689128102711</v>
      </c>
    </row>
    <row r="182" spans="1:12" x14ac:dyDescent="0.45">
      <c r="A182" s="318"/>
      <c r="B182" s="5" t="s">
        <v>11</v>
      </c>
      <c r="C182" s="2">
        <v>504</v>
      </c>
      <c r="D182" s="1">
        <v>3280383</v>
      </c>
      <c r="E182" s="1">
        <v>3305689</v>
      </c>
      <c r="F182" s="41">
        <f t="shared" si="17"/>
        <v>25.306000000000001</v>
      </c>
      <c r="G182" s="22">
        <f t="shared" si="18"/>
        <v>98.951152981455081</v>
      </c>
      <c r="H182" s="45">
        <f>MMULT($H$1,1/180)</f>
        <v>13.151061552068475</v>
      </c>
      <c r="I182" s="42">
        <f t="shared" si="20"/>
        <v>112.10221453352355</v>
      </c>
      <c r="J182" s="30">
        <f t="shared" si="22"/>
        <v>310</v>
      </c>
      <c r="K182" s="195"/>
      <c r="L182" s="27">
        <f t="shared" si="21"/>
        <v>422.10221453352358</v>
      </c>
    </row>
    <row r="183" spans="1:12" ht="15" customHeight="1" x14ac:dyDescent="0.45">
      <c r="F183" s="27">
        <f>SUM(F3:F182)</f>
        <v>2899.6089999999999</v>
      </c>
      <c r="G183" s="22">
        <f>MMULT($G$1,1/$F$183)*F183</f>
        <v>11338.008920627675</v>
      </c>
      <c r="H183" s="45">
        <f>SUM(H3:H182)</f>
        <v>2367.191079372325</v>
      </c>
      <c r="I183" s="42">
        <f>SUM(G183,H183)</f>
        <v>13705.2</v>
      </c>
      <c r="K183" s="20" t="s">
        <v>12</v>
      </c>
    </row>
    <row r="184" spans="1:12" ht="15" customHeight="1" x14ac:dyDescent="0.45">
      <c r="F184" t="s">
        <v>12</v>
      </c>
      <c r="I184" s="109">
        <f>SUM(-E190,I1)</f>
        <v>0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181">
        <v>6979.4</v>
      </c>
      <c r="F188" s="93">
        <v>1806</v>
      </c>
      <c r="G188" s="92">
        <f>MMULT(E188,1/F188)</f>
        <v>3.8645625692137315</v>
      </c>
      <c r="H188" s="20"/>
    </row>
    <row r="189" spans="1:12" ht="15" customHeight="1" thickBot="1" x14ac:dyDescent="0.5">
      <c r="D189" s="46">
        <v>6244619</v>
      </c>
      <c r="E189" s="88">
        <v>6725.8</v>
      </c>
      <c r="F189" s="94">
        <v>1699</v>
      </c>
      <c r="G189" s="92">
        <f>MMULT(E189,1/F189)</f>
        <v>3.9586815773984694</v>
      </c>
      <c r="H189" s="152"/>
    </row>
    <row r="190" spans="1:12" ht="15" customHeight="1" thickBot="1" x14ac:dyDescent="0.5">
      <c r="D190" s="6" t="s">
        <v>33</v>
      </c>
      <c r="E190" s="48">
        <f>SUM(E188:E189)</f>
        <v>13705.2</v>
      </c>
      <c r="F190" s="95">
        <f>SUM(F188:F189)</f>
        <v>3505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19" t="s">
        <v>69</v>
      </c>
      <c r="E192" s="319"/>
      <c r="F192" s="49">
        <f>SUM(F190)</f>
        <v>3505</v>
      </c>
      <c r="G192" s="156">
        <f>SUM(I192)</f>
        <v>3.9101854493580599</v>
      </c>
      <c r="H192" s="155" t="s">
        <v>12</v>
      </c>
      <c r="I192" s="157" cm="1">
        <f t="array" ref="I192">MMULT(E190,1/F190)</f>
        <v>3.9101854493580599</v>
      </c>
    </row>
    <row r="193" spans="4:8" ht="15" customHeight="1" x14ac:dyDescent="0.45">
      <c r="D193" s="320" t="s">
        <v>271</v>
      </c>
      <c r="E193" s="321"/>
      <c r="F193" s="49">
        <f>SUM(F183)</f>
        <v>2899.6089999999999</v>
      </c>
      <c r="G193" s="27">
        <f>MMULT(F193,G192)</f>
        <v>11338.008920627675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605.39100000000008</v>
      </c>
      <c r="G194" s="158">
        <f>MMULT(F194,G192)</f>
        <v>2367.1910793723255</v>
      </c>
      <c r="H194" s="61"/>
    </row>
    <row r="195" spans="4:8" ht="15" customHeight="1" thickBot="1" x14ac:dyDescent="0.5">
      <c r="F195" s="7"/>
      <c r="G195" s="48">
        <f>SUM(G193:G194)</f>
        <v>13705.2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53.088000000000001</v>
      </c>
      <c r="G198" s="20">
        <f>MAX(I3:I182)</f>
        <v>220.73498668758918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13.151061552068475</v>
      </c>
    </row>
    <row r="200" spans="4:8" ht="15" customHeight="1" x14ac:dyDescent="0.45">
      <c r="D200" t="s">
        <v>265</v>
      </c>
      <c r="F200" s="92">
        <f>AVERAGE(F3:F182)</f>
        <v>16.10893888888889</v>
      </c>
      <c r="G200" s="92">
        <f>AVERAGE(G3:G182)</f>
        <v>62.988938447931488</v>
      </c>
    </row>
    <row r="201" spans="4:8" ht="15" customHeight="1" x14ac:dyDescent="0.45">
      <c r="D201" t="s">
        <v>273</v>
      </c>
      <c r="F201" s="92">
        <f>AVERAGE(F199,F198)</f>
        <v>26.544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29275-7863-4520-A422-0EB51F3713C0}">
  <dimension ref="A1:O208"/>
  <sheetViews>
    <sheetView zoomScale="85" zoomScaleNormal="85" workbookViewId="0">
      <pane xSplit="1" ySplit="2" topLeftCell="B171" activePane="bottomRight" state="frozen"/>
      <selection pane="topRight" activeCell="B1" sqref="B1"/>
      <selection pane="bottomLeft" activeCell="A4" sqref="A4"/>
      <selection pane="bottomRight" activeCell="L2" sqref="L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hidden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11593.647232807576</v>
      </c>
      <c r="H1" s="27">
        <f>SUM(G194)</f>
        <v>1949.5527671924242</v>
      </c>
      <c r="I1" s="316">
        <f>SUM(G1:H1)</f>
        <v>13543.2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45879</v>
      </c>
      <c r="E2" s="3">
        <v>45910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3106035</v>
      </c>
      <c r="E3" s="1">
        <v>3118484</v>
      </c>
      <c r="F3" s="41">
        <f>(E3-D3)*$N$1</f>
        <v>12.449</v>
      </c>
      <c r="G3" s="22">
        <f>MMULT($G$1,1/$F$183)*F3</f>
        <v>48.350816403785494</v>
      </c>
      <c r="H3" s="45">
        <f>MMULT($H$1,1/180)</f>
        <v>10.830848706624579</v>
      </c>
      <c r="I3" s="42">
        <f>SUM(G3,H3)</f>
        <v>59.181665110410073</v>
      </c>
      <c r="J3" s="30">
        <v>310</v>
      </c>
      <c r="K3" s="195"/>
      <c r="L3" s="27">
        <f>SUM(I3,J3,K3)</f>
        <v>369.18166511041005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1974592</v>
      </c>
      <c r="E4" s="1">
        <v>1984200</v>
      </c>
      <c r="F4" s="41">
        <f t="shared" ref="F4:F22" si="0">(E4-D4)*$N$1</f>
        <v>9.6080000000000005</v>
      </c>
      <c r="G4" s="22">
        <f t="shared" ref="G4:G67" si="1">MMULT($G$1,1/$F$183)*F4</f>
        <v>37.31662334384859</v>
      </c>
      <c r="H4" s="45">
        <f t="shared" ref="H4:H67" si="2">MMULT($H$1,1/180)</f>
        <v>10.830848706624579</v>
      </c>
      <c r="I4" s="42">
        <f t="shared" ref="I4:I67" si="3">SUM(G4,H4)</f>
        <v>48.147472050473169</v>
      </c>
      <c r="J4" s="30">
        <f>SUM($J$3)</f>
        <v>310</v>
      </c>
      <c r="K4" s="195">
        <v>10</v>
      </c>
      <c r="L4" s="27">
        <f t="shared" ref="L4:L67" si="4">SUM(I4,J4,K4)</f>
        <v>368.1474720504732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2901303</v>
      </c>
      <c r="E5" s="1">
        <v>2911812</v>
      </c>
      <c r="F5" s="41">
        <f t="shared" si="0"/>
        <v>10.509</v>
      </c>
      <c r="G5" s="22">
        <f t="shared" si="1"/>
        <v>40.816027760252375</v>
      </c>
      <c r="H5" s="45">
        <f t="shared" si="2"/>
        <v>10.830848706624579</v>
      </c>
      <c r="I5" s="42">
        <f t="shared" si="3"/>
        <v>51.646876466876954</v>
      </c>
      <c r="J5" s="30">
        <f t="shared" ref="J5:J68" si="5">SUM($J$3)</f>
        <v>310</v>
      </c>
      <c r="K5" s="195"/>
      <c r="L5" s="27">
        <f t="shared" si="4"/>
        <v>361.64687646687696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2508755</v>
      </c>
      <c r="E6" s="1">
        <v>2518617</v>
      </c>
      <c r="F6" s="41">
        <f t="shared" si="0"/>
        <v>9.8620000000000001</v>
      </c>
      <c r="G6" s="22">
        <f t="shared" si="1"/>
        <v>38.303136908517359</v>
      </c>
      <c r="H6" s="45">
        <f t="shared" si="2"/>
        <v>10.830848706624579</v>
      </c>
      <c r="I6" s="42">
        <f t="shared" si="3"/>
        <v>49.133985615141938</v>
      </c>
      <c r="J6" s="30">
        <f t="shared" si="5"/>
        <v>310</v>
      </c>
      <c r="K6" s="195"/>
      <c r="L6" s="27">
        <f t="shared" si="4"/>
        <v>359.13398561514191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3665634</v>
      </c>
      <c r="E7" s="1">
        <v>3681977</v>
      </c>
      <c r="F7" s="41">
        <f t="shared" si="0"/>
        <v>16.343</v>
      </c>
      <c r="G7" s="22">
        <f t="shared" si="1"/>
        <v>63.474768454258687</v>
      </c>
      <c r="H7" s="45">
        <f t="shared" si="2"/>
        <v>10.830848706624579</v>
      </c>
      <c r="I7" s="42">
        <f t="shared" si="3"/>
        <v>74.305617160883259</v>
      </c>
      <c r="J7" s="30">
        <f t="shared" si="5"/>
        <v>310</v>
      </c>
      <c r="K7" s="195"/>
      <c r="L7" s="27">
        <f t="shared" si="4"/>
        <v>384.30561716088323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136073</v>
      </c>
      <c r="E8" s="1">
        <v>153431</v>
      </c>
      <c r="F8" s="41">
        <f t="shared" si="0"/>
        <v>17.358000000000001</v>
      </c>
      <c r="G8" s="22">
        <f t="shared" si="1"/>
        <v>67.416938801261836</v>
      </c>
      <c r="H8" s="45">
        <f t="shared" si="2"/>
        <v>10.830848706624579</v>
      </c>
      <c r="I8" s="42">
        <f t="shared" si="3"/>
        <v>78.247787507886414</v>
      </c>
      <c r="J8" s="30">
        <f t="shared" si="5"/>
        <v>310</v>
      </c>
      <c r="K8" s="195"/>
      <c r="L8" s="27">
        <f t="shared" si="4"/>
        <v>388.24778750788641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4877739</v>
      </c>
      <c r="E9" s="1">
        <v>4898353</v>
      </c>
      <c r="F9" s="41">
        <f t="shared" si="0"/>
        <v>20.614000000000001</v>
      </c>
      <c r="G9" s="22">
        <f t="shared" si="1"/>
        <v>80.062955205047331</v>
      </c>
      <c r="H9" s="45">
        <f t="shared" si="2"/>
        <v>10.830848706624579</v>
      </c>
      <c r="I9" s="42">
        <f t="shared" si="3"/>
        <v>90.89380391167191</v>
      </c>
      <c r="J9" s="30">
        <f t="shared" si="5"/>
        <v>310</v>
      </c>
      <c r="K9" s="195"/>
      <c r="L9" s="27">
        <f t="shared" si="4"/>
        <v>400.89380391167191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1936493</v>
      </c>
      <c r="E10" s="1">
        <v>1957309</v>
      </c>
      <c r="F10" s="41">
        <f t="shared" si="0"/>
        <v>20.815999999999999</v>
      </c>
      <c r="G10" s="22">
        <f t="shared" si="1"/>
        <v>80.847505362776033</v>
      </c>
      <c r="H10" s="45">
        <f t="shared" si="2"/>
        <v>10.830848706624579</v>
      </c>
      <c r="I10" s="42">
        <f t="shared" si="3"/>
        <v>91.678354069400612</v>
      </c>
      <c r="J10" s="30">
        <f t="shared" si="5"/>
        <v>310</v>
      </c>
      <c r="K10" s="195"/>
      <c r="L10" s="27">
        <f t="shared" si="4"/>
        <v>401.6783540694006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3966458</v>
      </c>
      <c r="E11" s="1">
        <v>3993428</v>
      </c>
      <c r="F11" s="41">
        <f t="shared" si="0"/>
        <v>26.97</v>
      </c>
      <c r="G11" s="22">
        <f t="shared" si="1"/>
        <v>104.74909779179812</v>
      </c>
      <c r="H11" s="45">
        <f t="shared" si="2"/>
        <v>10.830848706624579</v>
      </c>
      <c r="I11" s="42">
        <f t="shared" si="3"/>
        <v>115.5799464984227</v>
      </c>
      <c r="J11" s="30">
        <f t="shared" si="5"/>
        <v>310</v>
      </c>
      <c r="K11" s="195">
        <v>10</v>
      </c>
      <c r="L11" s="27">
        <f t="shared" si="4"/>
        <v>435.57994649842271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4307890</v>
      </c>
      <c r="E12" s="1">
        <v>4331929</v>
      </c>
      <c r="F12" s="41">
        <f t="shared" si="0"/>
        <v>24.039000000000001</v>
      </c>
      <c r="G12" s="22">
        <f t="shared" si="1"/>
        <v>93.365352681388032</v>
      </c>
      <c r="H12" s="45">
        <f t="shared" si="2"/>
        <v>10.830848706624579</v>
      </c>
      <c r="I12" s="42">
        <f t="shared" si="3"/>
        <v>104.19620138801261</v>
      </c>
      <c r="J12" s="30">
        <f t="shared" si="5"/>
        <v>310</v>
      </c>
      <c r="K12" s="195"/>
      <c r="L12" s="27">
        <f t="shared" si="4"/>
        <v>414.19620138801258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3585698</v>
      </c>
      <c r="E13" s="1">
        <v>3599964</v>
      </c>
      <c r="F13" s="41">
        <f t="shared" si="0"/>
        <v>14.266</v>
      </c>
      <c r="G13" s="22">
        <f t="shared" si="1"/>
        <v>55.407883911671931</v>
      </c>
      <c r="H13" s="45">
        <f t="shared" si="2"/>
        <v>10.830848706624579</v>
      </c>
      <c r="I13" s="42">
        <f t="shared" si="3"/>
        <v>66.23873261829651</v>
      </c>
      <c r="J13" s="30">
        <f t="shared" si="5"/>
        <v>310</v>
      </c>
      <c r="K13" s="195"/>
      <c r="L13" s="27">
        <f t="shared" si="4"/>
        <v>376.23873261829652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1635103</v>
      </c>
      <c r="E14" s="1">
        <v>1649729</v>
      </c>
      <c r="F14" s="41">
        <f t="shared" si="0"/>
        <v>14.625999999999999</v>
      </c>
      <c r="G14" s="22">
        <f t="shared" si="1"/>
        <v>56.806092113564674</v>
      </c>
      <c r="H14" s="45">
        <f t="shared" si="2"/>
        <v>10.830848706624579</v>
      </c>
      <c r="I14" s="42">
        <f t="shared" si="3"/>
        <v>67.636940820189253</v>
      </c>
      <c r="J14" s="30">
        <f t="shared" si="5"/>
        <v>310</v>
      </c>
      <c r="K14" s="195"/>
      <c r="L14" s="27">
        <f t="shared" si="4"/>
        <v>377.63694082018924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2219863</v>
      </c>
      <c r="E15" s="1">
        <v>2225808</v>
      </c>
      <c r="F15" s="41">
        <f t="shared" si="0"/>
        <v>5.9450000000000003</v>
      </c>
      <c r="G15" s="22">
        <f t="shared" si="1"/>
        <v>23.089854889589908</v>
      </c>
      <c r="H15" s="45">
        <f t="shared" si="2"/>
        <v>10.830848706624579</v>
      </c>
      <c r="I15" s="42">
        <f t="shared" si="3"/>
        <v>33.920703596214487</v>
      </c>
      <c r="J15" s="30">
        <f t="shared" si="5"/>
        <v>310</v>
      </c>
      <c r="K15" s="195">
        <v>10</v>
      </c>
      <c r="L15" s="27">
        <f t="shared" si="4"/>
        <v>353.92070359621448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5569728</v>
      </c>
      <c r="E16" s="1">
        <v>5579887</v>
      </c>
      <c r="F16" s="41">
        <f t="shared" si="0"/>
        <v>10.159000000000001</v>
      </c>
      <c r="G16" s="22">
        <f>MMULT($G$1,1/$F$183)*F16</f>
        <v>39.45665867507887</v>
      </c>
      <c r="H16" s="45">
        <f t="shared" si="2"/>
        <v>10.830848706624579</v>
      </c>
      <c r="I16" s="42">
        <f t="shared" si="3"/>
        <v>50.287507381703449</v>
      </c>
      <c r="J16" s="30">
        <f t="shared" si="5"/>
        <v>310</v>
      </c>
      <c r="K16" s="195"/>
      <c r="L16" s="27">
        <f t="shared" si="4"/>
        <v>360.28750738170345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2990304</v>
      </c>
      <c r="E17" s="1">
        <v>3001638</v>
      </c>
      <c r="F17" s="41">
        <f t="shared" si="0"/>
        <v>11.334</v>
      </c>
      <c r="G17" s="22">
        <f t="shared" si="1"/>
        <v>44.020254889589907</v>
      </c>
      <c r="H17" s="45">
        <f t="shared" si="2"/>
        <v>10.830848706624579</v>
      </c>
      <c r="I17" s="42">
        <f t="shared" si="3"/>
        <v>54.851103596214486</v>
      </c>
      <c r="J17" s="30">
        <f t="shared" si="5"/>
        <v>310</v>
      </c>
      <c r="K17" s="195"/>
      <c r="L17" s="27">
        <f t="shared" si="4"/>
        <v>364.8511035962145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2638610</v>
      </c>
      <c r="E18" s="1">
        <v>2649841</v>
      </c>
      <c r="F18" s="41">
        <f t="shared" si="0"/>
        <v>11.231</v>
      </c>
      <c r="G18" s="22">
        <f t="shared" si="1"/>
        <v>43.620211987381708</v>
      </c>
      <c r="H18" s="45">
        <f t="shared" si="2"/>
        <v>10.830848706624579</v>
      </c>
      <c r="I18" s="42">
        <f t="shared" si="3"/>
        <v>54.451060694006287</v>
      </c>
      <c r="J18" s="30">
        <f t="shared" si="5"/>
        <v>310</v>
      </c>
      <c r="K18" s="195"/>
      <c r="L18" s="27">
        <f t="shared" si="4"/>
        <v>364.45106069400629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3845586</v>
      </c>
      <c r="E19" s="1">
        <v>3866089</v>
      </c>
      <c r="F19" s="41">
        <f t="shared" si="0"/>
        <v>20.503</v>
      </c>
      <c r="G19" s="22">
        <f t="shared" si="1"/>
        <v>79.631841009463727</v>
      </c>
      <c r="H19" s="45">
        <f t="shared" si="2"/>
        <v>10.830848706624579</v>
      </c>
      <c r="I19" s="42">
        <f t="shared" si="3"/>
        <v>90.462689716088306</v>
      </c>
      <c r="J19" s="30">
        <f t="shared" si="5"/>
        <v>310</v>
      </c>
      <c r="K19" s="195"/>
      <c r="L19" s="27">
        <f t="shared" si="4"/>
        <v>400.46268971608833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5741262</v>
      </c>
      <c r="E20" s="1">
        <v>5793106</v>
      </c>
      <c r="F20" s="41">
        <f t="shared" si="0"/>
        <v>51.844000000000001</v>
      </c>
      <c r="G20" s="22">
        <f t="shared" si="1"/>
        <v>201.35751671924294</v>
      </c>
      <c r="H20" s="45">
        <f t="shared" si="2"/>
        <v>10.830848706624579</v>
      </c>
      <c r="I20" s="42">
        <f t="shared" si="3"/>
        <v>212.18836542586752</v>
      </c>
      <c r="J20" s="30">
        <f t="shared" si="5"/>
        <v>310</v>
      </c>
      <c r="K20" s="195">
        <v>-60</v>
      </c>
      <c r="L20" s="27">
        <f t="shared" si="4"/>
        <v>462.18836542586746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1928429</v>
      </c>
      <c r="E21" s="1">
        <v>1950873</v>
      </c>
      <c r="F21" s="41">
        <f t="shared" si="0"/>
        <v>22.443999999999999</v>
      </c>
      <c r="G21" s="22">
        <f t="shared" si="1"/>
        <v>87.170513564668781</v>
      </c>
      <c r="H21" s="45">
        <f t="shared" si="2"/>
        <v>10.830848706624579</v>
      </c>
      <c r="I21" s="42">
        <f t="shared" si="3"/>
        <v>98.00136227129336</v>
      </c>
      <c r="J21" s="30">
        <f t="shared" si="5"/>
        <v>310</v>
      </c>
      <c r="K21" s="195"/>
      <c r="L21" s="27">
        <f t="shared" si="4"/>
        <v>408.00136227129337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292231</v>
      </c>
      <c r="E22" s="1">
        <v>293894</v>
      </c>
      <c r="F22" s="41">
        <f t="shared" si="0"/>
        <v>1.663</v>
      </c>
      <c r="G22" s="22">
        <f t="shared" si="1"/>
        <v>6.4589451104100961</v>
      </c>
      <c r="H22" s="45">
        <f t="shared" si="2"/>
        <v>10.830848706624579</v>
      </c>
      <c r="I22" s="42">
        <f t="shared" si="3"/>
        <v>17.289793817034674</v>
      </c>
      <c r="J22" s="30">
        <f t="shared" si="5"/>
        <v>310</v>
      </c>
      <c r="K22" s="195"/>
      <c r="L22" s="27">
        <f t="shared" si="4"/>
        <v>327.28979381703465</v>
      </c>
    </row>
    <row r="23" spans="1:12" ht="15" customHeight="1" x14ac:dyDescent="0.45">
      <c r="A23" s="314"/>
      <c r="B23" s="5" t="s">
        <v>4</v>
      </c>
      <c r="C23" s="2">
        <v>101</v>
      </c>
      <c r="D23" s="1">
        <v>83943</v>
      </c>
      <c r="E23" s="1">
        <v>84983</v>
      </c>
      <c r="F23" s="41">
        <f>(E23-D23)*0.01</f>
        <v>10.4</v>
      </c>
      <c r="G23" s="22">
        <f t="shared" si="1"/>
        <v>40.392681388012626</v>
      </c>
      <c r="H23" s="45">
        <f t="shared" si="2"/>
        <v>10.830848706624579</v>
      </c>
      <c r="I23" s="42">
        <f t="shared" si="3"/>
        <v>51.223530094637205</v>
      </c>
      <c r="J23" s="30">
        <f t="shared" si="5"/>
        <v>310</v>
      </c>
      <c r="K23" s="195"/>
      <c r="L23" s="27">
        <f t="shared" si="4"/>
        <v>361.22353009463723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3467145</v>
      </c>
      <c r="E24" s="1">
        <v>3492666</v>
      </c>
      <c r="F24" s="41">
        <f t="shared" ref="F24:F32" si="6">(E24-D24)*$N$1</f>
        <v>25.521000000000001</v>
      </c>
      <c r="G24" s="22">
        <f t="shared" si="1"/>
        <v>99.121309779179825</v>
      </c>
      <c r="H24" s="45">
        <f t="shared" si="2"/>
        <v>10.830848706624579</v>
      </c>
      <c r="I24" s="42">
        <f t="shared" si="3"/>
        <v>109.9521584858044</v>
      </c>
      <c r="J24" s="30">
        <f t="shared" si="5"/>
        <v>310</v>
      </c>
      <c r="K24" s="195">
        <v>10</v>
      </c>
      <c r="L24" s="27">
        <f t="shared" si="4"/>
        <v>429.95215848580438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3459969</v>
      </c>
      <c r="E25" s="1">
        <v>3475757</v>
      </c>
      <c r="F25" s="41">
        <f t="shared" si="6"/>
        <v>15.788</v>
      </c>
      <c r="G25" s="22">
        <f t="shared" si="1"/>
        <v>61.319197476340705</v>
      </c>
      <c r="H25" s="45">
        <f t="shared" si="2"/>
        <v>10.830848706624579</v>
      </c>
      <c r="I25" s="42">
        <f t="shared" si="3"/>
        <v>72.150046182965283</v>
      </c>
      <c r="J25" s="30">
        <f t="shared" si="5"/>
        <v>310</v>
      </c>
      <c r="K25" s="195"/>
      <c r="L25" s="27">
        <f t="shared" si="4"/>
        <v>382.1500461829653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5281365</v>
      </c>
      <c r="E26" s="1">
        <v>5295555</v>
      </c>
      <c r="F26" s="41">
        <f t="shared" si="6"/>
        <v>14.19</v>
      </c>
      <c r="G26" s="22">
        <f t="shared" si="1"/>
        <v>55.112706624605686</v>
      </c>
      <c r="H26" s="45">
        <f t="shared" si="2"/>
        <v>10.830848706624579</v>
      </c>
      <c r="I26" s="42">
        <f t="shared" si="3"/>
        <v>65.943555331230272</v>
      </c>
      <c r="J26" s="30">
        <f t="shared" si="5"/>
        <v>310</v>
      </c>
      <c r="K26" s="195"/>
      <c r="L26" s="27">
        <f t="shared" si="4"/>
        <v>375.9435553312303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2764888</v>
      </c>
      <c r="E27" s="1">
        <v>2792130</v>
      </c>
      <c r="F27" s="41">
        <f t="shared" si="6"/>
        <v>27.242000000000001</v>
      </c>
      <c r="G27" s="22">
        <f t="shared" si="1"/>
        <v>105.80552176656153</v>
      </c>
      <c r="H27" s="45">
        <f t="shared" si="2"/>
        <v>10.830848706624579</v>
      </c>
      <c r="I27" s="42">
        <f t="shared" si="3"/>
        <v>116.6363704731861</v>
      </c>
      <c r="J27" s="30">
        <f t="shared" si="5"/>
        <v>310</v>
      </c>
      <c r="K27" s="195"/>
      <c r="L27" s="27">
        <f t="shared" si="4"/>
        <v>426.6363704731861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2566652</v>
      </c>
      <c r="E28" s="1">
        <v>2575338</v>
      </c>
      <c r="F28" s="41">
        <f t="shared" si="6"/>
        <v>8.6859999999999999</v>
      </c>
      <c r="G28" s="22">
        <f t="shared" si="1"/>
        <v>33.735656782334388</v>
      </c>
      <c r="H28" s="45">
        <f t="shared" si="2"/>
        <v>10.830848706624579</v>
      </c>
      <c r="I28" s="42">
        <f t="shared" si="3"/>
        <v>44.566505488958967</v>
      </c>
      <c r="J28" s="30">
        <f t="shared" si="5"/>
        <v>310</v>
      </c>
      <c r="K28" s="195"/>
      <c r="L28" s="27">
        <f t="shared" si="4"/>
        <v>354.56650548895897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2447039</v>
      </c>
      <c r="E29" s="1">
        <v>2461865</v>
      </c>
      <c r="F29" s="41">
        <f t="shared" si="6"/>
        <v>14.826000000000001</v>
      </c>
      <c r="G29" s="22">
        <f t="shared" si="1"/>
        <v>57.582874447949536</v>
      </c>
      <c r="H29" s="45">
        <f t="shared" si="2"/>
        <v>10.830848706624579</v>
      </c>
      <c r="I29" s="42">
        <f t="shared" si="3"/>
        <v>68.413723154574114</v>
      </c>
      <c r="J29" s="30">
        <f t="shared" si="5"/>
        <v>310</v>
      </c>
      <c r="K29" s="195"/>
      <c r="L29" s="27">
        <f t="shared" si="4"/>
        <v>378.41372315457409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2793565</v>
      </c>
      <c r="E30" s="1">
        <v>2807925</v>
      </c>
      <c r="F30" s="41">
        <f t="shared" si="6"/>
        <v>14.36</v>
      </c>
      <c r="G30" s="22">
        <f t="shared" si="1"/>
        <v>55.772971608832812</v>
      </c>
      <c r="H30" s="45">
        <f t="shared" si="2"/>
        <v>10.830848706624579</v>
      </c>
      <c r="I30" s="42">
        <f t="shared" si="3"/>
        <v>66.603820315457398</v>
      </c>
      <c r="J30" s="30">
        <f t="shared" si="5"/>
        <v>310</v>
      </c>
      <c r="K30" s="195"/>
      <c r="L30" s="27">
        <f t="shared" si="4"/>
        <v>376.60382031545737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4223877</v>
      </c>
      <c r="E31" s="1">
        <v>4234569</v>
      </c>
      <c r="F31" s="41">
        <f t="shared" si="6"/>
        <v>10.692</v>
      </c>
      <c r="G31" s="22">
        <f t="shared" si="1"/>
        <v>41.526783596214514</v>
      </c>
      <c r="H31" s="45">
        <f t="shared" si="2"/>
        <v>10.830848706624579</v>
      </c>
      <c r="I31" s="42">
        <f t="shared" si="3"/>
        <v>52.357632302839093</v>
      </c>
      <c r="J31" s="30">
        <f t="shared" si="5"/>
        <v>310</v>
      </c>
      <c r="K31" s="195">
        <v>10</v>
      </c>
      <c r="L31" s="27">
        <f t="shared" si="4"/>
        <v>372.35763230283908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2552022</v>
      </c>
      <c r="E32" s="1">
        <v>2565550</v>
      </c>
      <c r="F32" s="41">
        <f t="shared" si="6"/>
        <v>13.528</v>
      </c>
      <c r="G32" s="22">
        <f t="shared" si="1"/>
        <v>52.541557097791809</v>
      </c>
      <c r="H32" s="45">
        <f t="shared" si="2"/>
        <v>10.830848706624579</v>
      </c>
      <c r="I32" s="42">
        <f t="shared" si="3"/>
        <v>63.372405804416388</v>
      </c>
      <c r="J32" s="30">
        <f t="shared" si="5"/>
        <v>310</v>
      </c>
      <c r="K32" s="195"/>
      <c r="L32" s="27">
        <f t="shared" si="4"/>
        <v>373.37240580441642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115916</v>
      </c>
      <c r="E33" s="1">
        <v>117310</v>
      </c>
      <c r="F33" s="41">
        <f>(E33-D33)*0.01</f>
        <v>13.94</v>
      </c>
      <c r="G33" s="22">
        <f t="shared" si="1"/>
        <v>54.141728706624612</v>
      </c>
      <c r="H33" s="45">
        <f t="shared" si="2"/>
        <v>10.830848706624579</v>
      </c>
      <c r="I33" s="42">
        <f t="shared" si="3"/>
        <v>64.972577413249184</v>
      </c>
      <c r="J33" s="30">
        <f t="shared" si="5"/>
        <v>310</v>
      </c>
      <c r="K33" s="195"/>
      <c r="L33" s="27">
        <f t="shared" si="4"/>
        <v>374.97257741324916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3428770</v>
      </c>
      <c r="E34" s="1">
        <v>3445355</v>
      </c>
      <c r="F34" s="41">
        <f t="shared" ref="F34:F42" si="7">(E34-D34)*$N$1</f>
        <v>16.585000000000001</v>
      </c>
      <c r="G34" s="22">
        <f t="shared" si="1"/>
        <v>64.414675078864363</v>
      </c>
      <c r="H34" s="45">
        <f t="shared" si="2"/>
        <v>10.830848706624579</v>
      </c>
      <c r="I34" s="42">
        <f t="shared" si="3"/>
        <v>75.245523785488942</v>
      </c>
      <c r="J34" s="30">
        <f t="shared" si="5"/>
        <v>310</v>
      </c>
      <c r="K34" s="195"/>
      <c r="L34" s="27">
        <f t="shared" si="4"/>
        <v>385.24552378548896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3288749</v>
      </c>
      <c r="E35" s="1">
        <v>3298639</v>
      </c>
      <c r="F35" s="41">
        <f t="shared" si="7"/>
        <v>9.89</v>
      </c>
      <c r="G35" s="22">
        <f t="shared" si="1"/>
        <v>38.41188643533124</v>
      </c>
      <c r="H35" s="45">
        <f t="shared" si="2"/>
        <v>10.830848706624579</v>
      </c>
      <c r="I35" s="42">
        <f t="shared" si="3"/>
        <v>49.242735141955819</v>
      </c>
      <c r="J35" s="30">
        <f t="shared" si="5"/>
        <v>310</v>
      </c>
      <c r="K35" s="195"/>
      <c r="L35" s="27">
        <f t="shared" si="4"/>
        <v>359.24273514195579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1321690</v>
      </c>
      <c r="E36" s="1">
        <v>1335775</v>
      </c>
      <c r="F36" s="41">
        <f t="shared" si="7"/>
        <v>14.085000000000001</v>
      </c>
      <c r="G36" s="22">
        <f t="shared" si="1"/>
        <v>54.704895899053639</v>
      </c>
      <c r="H36" s="45">
        <f t="shared" si="2"/>
        <v>10.830848706624579</v>
      </c>
      <c r="I36" s="42">
        <f t="shared" si="3"/>
        <v>65.535744605678218</v>
      </c>
      <c r="J36" s="30">
        <f t="shared" si="5"/>
        <v>310</v>
      </c>
      <c r="K36" s="195"/>
      <c r="L36" s="27">
        <f t="shared" si="4"/>
        <v>375.53574460567825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14009</v>
      </c>
      <c r="E37" s="1">
        <v>14009</v>
      </c>
      <c r="F37" s="41">
        <f t="shared" si="7"/>
        <v>0</v>
      </c>
      <c r="G37" s="22">
        <f t="shared" si="1"/>
        <v>0</v>
      </c>
      <c r="H37" s="45">
        <f t="shared" si="2"/>
        <v>10.830848706624579</v>
      </c>
      <c r="I37" s="42">
        <f t="shared" si="3"/>
        <v>10.830848706624579</v>
      </c>
      <c r="J37" s="30">
        <f t="shared" si="5"/>
        <v>310</v>
      </c>
      <c r="K37" s="195"/>
      <c r="L37" s="27">
        <f t="shared" si="4"/>
        <v>320.83084870662458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3847263</v>
      </c>
      <c r="E38" s="1">
        <v>3873500</v>
      </c>
      <c r="F38" s="41">
        <f t="shared" si="7"/>
        <v>26.237000000000002</v>
      </c>
      <c r="G38" s="22">
        <f t="shared" si="1"/>
        <v>101.90219053627763</v>
      </c>
      <c r="H38" s="45">
        <f t="shared" si="2"/>
        <v>10.830848706624579</v>
      </c>
      <c r="I38" s="42">
        <f t="shared" si="3"/>
        <v>112.73303924290221</v>
      </c>
      <c r="J38" s="30">
        <f t="shared" si="5"/>
        <v>310</v>
      </c>
      <c r="K38" s="195"/>
      <c r="L38" s="27">
        <f t="shared" si="4"/>
        <v>422.73303924290224</v>
      </c>
    </row>
    <row r="39" spans="1:12" ht="15" customHeight="1" x14ac:dyDescent="0.45">
      <c r="A39" s="314"/>
      <c r="B39" s="5" t="s">
        <v>4</v>
      </c>
      <c r="C39" s="2">
        <v>501</v>
      </c>
      <c r="D39" s="1">
        <v>5078423</v>
      </c>
      <c r="E39" s="1">
        <v>5119610</v>
      </c>
      <c r="F39" s="41">
        <f t="shared" si="7"/>
        <v>41.186999999999998</v>
      </c>
      <c r="G39" s="22">
        <f t="shared" si="1"/>
        <v>159.96667003154576</v>
      </c>
      <c r="H39" s="45">
        <f t="shared" si="2"/>
        <v>10.830848706624579</v>
      </c>
      <c r="I39" s="42">
        <f t="shared" si="3"/>
        <v>170.79751873817034</v>
      </c>
      <c r="J39" s="30">
        <f t="shared" si="5"/>
        <v>310</v>
      </c>
      <c r="K39" s="195"/>
      <c r="L39" s="27">
        <f t="shared" si="4"/>
        <v>480.79751873817031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6669806</v>
      </c>
      <c r="E40" s="1">
        <v>6711717</v>
      </c>
      <c r="F40" s="41">
        <f t="shared" si="7"/>
        <v>41.911000000000001</v>
      </c>
      <c r="G40" s="22">
        <f t="shared" si="1"/>
        <v>162.77862208201896</v>
      </c>
      <c r="H40" s="45">
        <f t="shared" si="2"/>
        <v>10.830848706624579</v>
      </c>
      <c r="I40" s="42">
        <f t="shared" si="3"/>
        <v>173.60947078864353</v>
      </c>
      <c r="J40" s="30">
        <f t="shared" si="5"/>
        <v>310</v>
      </c>
      <c r="K40" s="195"/>
      <c r="L40" s="27">
        <f t="shared" si="4"/>
        <v>483.60947078864353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3752659</v>
      </c>
      <c r="E41" s="1">
        <v>3773747</v>
      </c>
      <c r="F41" s="41">
        <f t="shared" si="7"/>
        <v>21.088000000000001</v>
      </c>
      <c r="G41" s="22">
        <f t="shared" si="1"/>
        <v>81.903929337539452</v>
      </c>
      <c r="H41" s="45">
        <f t="shared" si="2"/>
        <v>10.830848706624579</v>
      </c>
      <c r="I41" s="42">
        <f t="shared" si="3"/>
        <v>92.734778044164031</v>
      </c>
      <c r="J41" s="30">
        <f t="shared" si="5"/>
        <v>310</v>
      </c>
      <c r="K41" s="195">
        <v>10</v>
      </c>
      <c r="L41" s="27">
        <f t="shared" si="4"/>
        <v>412.73477804416405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2964446</v>
      </c>
      <c r="E42" s="1">
        <v>2964446</v>
      </c>
      <c r="F42" s="41">
        <f t="shared" si="7"/>
        <v>0</v>
      </c>
      <c r="G42" s="22">
        <f t="shared" si="1"/>
        <v>0</v>
      </c>
      <c r="H42" s="45">
        <f t="shared" si="2"/>
        <v>10.830848706624579</v>
      </c>
      <c r="I42" s="42">
        <f t="shared" si="3"/>
        <v>10.830848706624579</v>
      </c>
      <c r="J42" s="30">
        <f t="shared" si="5"/>
        <v>310</v>
      </c>
      <c r="K42" s="195"/>
      <c r="L42" s="27">
        <f t="shared" si="4"/>
        <v>320.83084870662458</v>
      </c>
    </row>
    <row r="43" spans="1:12" ht="15" customHeight="1" x14ac:dyDescent="0.45">
      <c r="A43" s="318"/>
      <c r="B43" s="5" t="s">
        <v>5</v>
      </c>
      <c r="C43" s="2">
        <v>101</v>
      </c>
      <c r="D43" s="1">
        <v>30045</v>
      </c>
      <c r="E43" s="1">
        <v>30632</v>
      </c>
      <c r="F43" s="41">
        <f>(E43-D43)*0.01</f>
        <v>5.87</v>
      </c>
      <c r="G43" s="22">
        <f t="shared" si="1"/>
        <v>22.798561514195587</v>
      </c>
      <c r="H43" s="45">
        <f t="shared" si="2"/>
        <v>10.830848706624579</v>
      </c>
      <c r="I43" s="42">
        <f t="shared" si="3"/>
        <v>33.629410220820162</v>
      </c>
      <c r="J43" s="30">
        <f t="shared" si="5"/>
        <v>310</v>
      </c>
      <c r="K43" s="195"/>
      <c r="L43" s="27">
        <f t="shared" si="4"/>
        <v>343.62941022082015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2946315</v>
      </c>
      <c r="E44" s="1">
        <v>2965081</v>
      </c>
      <c r="F44" s="41">
        <f t="shared" ref="F44:F56" si="8">(E44-D44)*$N$1</f>
        <v>18.766000000000002</v>
      </c>
      <c r="G44" s="22">
        <f t="shared" si="1"/>
        <v>72.885486435331245</v>
      </c>
      <c r="H44" s="45">
        <f t="shared" si="2"/>
        <v>10.830848706624579</v>
      </c>
      <c r="I44" s="42">
        <f t="shared" si="3"/>
        <v>83.716335141955824</v>
      </c>
      <c r="J44" s="30">
        <f t="shared" si="5"/>
        <v>310</v>
      </c>
      <c r="K44" s="195"/>
      <c r="L44" s="27">
        <f t="shared" si="4"/>
        <v>393.71633514195582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986841</v>
      </c>
      <c r="E45" s="1">
        <v>986841</v>
      </c>
      <c r="F45" s="41">
        <f t="shared" si="8"/>
        <v>0</v>
      </c>
      <c r="G45" s="22">
        <f t="shared" si="1"/>
        <v>0</v>
      </c>
      <c r="H45" s="45">
        <f t="shared" si="2"/>
        <v>10.830848706624579</v>
      </c>
      <c r="I45" s="42">
        <f t="shared" si="3"/>
        <v>10.830848706624579</v>
      </c>
      <c r="J45" s="30">
        <f t="shared" si="5"/>
        <v>310</v>
      </c>
      <c r="K45" s="195"/>
      <c r="L45" s="27">
        <f t="shared" si="4"/>
        <v>320.83084870662458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4228204</v>
      </c>
      <c r="E46" s="1">
        <v>4244695</v>
      </c>
      <c r="F46" s="41">
        <f t="shared" si="8"/>
        <v>16.491</v>
      </c>
      <c r="G46" s="22">
        <f t="shared" si="1"/>
        <v>64.049587381703475</v>
      </c>
      <c r="H46" s="45">
        <f t="shared" si="2"/>
        <v>10.830848706624579</v>
      </c>
      <c r="I46" s="42">
        <f t="shared" si="3"/>
        <v>74.880436088328054</v>
      </c>
      <c r="J46" s="30">
        <f t="shared" si="5"/>
        <v>310</v>
      </c>
      <c r="K46" s="195"/>
      <c r="L46" s="27">
        <f t="shared" si="4"/>
        <v>384.88043608832805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3998799</v>
      </c>
      <c r="E47" s="1">
        <v>4036145</v>
      </c>
      <c r="F47" s="41">
        <f t="shared" si="8"/>
        <v>37.346000000000004</v>
      </c>
      <c r="G47" s="22">
        <f t="shared" si="1"/>
        <v>145.04856529968458</v>
      </c>
      <c r="H47" s="45">
        <f t="shared" si="2"/>
        <v>10.830848706624579</v>
      </c>
      <c r="I47" s="42">
        <f t="shared" si="3"/>
        <v>155.87941400630916</v>
      </c>
      <c r="J47" s="30">
        <f t="shared" si="5"/>
        <v>310</v>
      </c>
      <c r="K47" s="195"/>
      <c r="L47" s="27">
        <f t="shared" si="4"/>
        <v>465.87941400630916</v>
      </c>
    </row>
    <row r="48" spans="1:12" ht="15" customHeight="1" x14ac:dyDescent="0.45">
      <c r="A48" s="318"/>
      <c r="B48" s="5" t="s">
        <v>5</v>
      </c>
      <c r="C48" s="2">
        <v>202</v>
      </c>
      <c r="D48" s="1">
        <v>3051476</v>
      </c>
      <c r="E48" s="1">
        <v>3082605</v>
      </c>
      <c r="F48" s="41">
        <f t="shared" si="8"/>
        <v>31.129000000000001</v>
      </c>
      <c r="G48" s="22">
        <f t="shared" si="1"/>
        <v>120.90228643533125</v>
      </c>
      <c r="H48" s="45">
        <f t="shared" si="2"/>
        <v>10.830848706624579</v>
      </c>
      <c r="I48" s="42">
        <f t="shared" si="3"/>
        <v>131.73313514195581</v>
      </c>
      <c r="J48" s="30">
        <f t="shared" si="5"/>
        <v>310</v>
      </c>
      <c r="K48" s="195"/>
      <c r="L48" s="27">
        <f t="shared" si="4"/>
        <v>441.73313514195581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2403590</v>
      </c>
      <c r="E49" s="1">
        <v>2417561</v>
      </c>
      <c r="F49" s="41">
        <f t="shared" si="8"/>
        <v>13.971</v>
      </c>
      <c r="G49" s="22">
        <f t="shared" si="1"/>
        <v>54.262129968454268</v>
      </c>
      <c r="H49" s="45">
        <f t="shared" si="2"/>
        <v>10.830848706624579</v>
      </c>
      <c r="I49" s="42">
        <f t="shared" si="3"/>
        <v>65.092978675078854</v>
      </c>
      <c r="J49" s="30">
        <f t="shared" si="5"/>
        <v>310</v>
      </c>
      <c r="K49" s="195"/>
      <c r="L49" s="27">
        <f t="shared" si="4"/>
        <v>375.09297867507883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2309175</v>
      </c>
      <c r="E50" s="1">
        <v>2336834</v>
      </c>
      <c r="F50" s="41">
        <f t="shared" si="8"/>
        <v>27.658999999999999</v>
      </c>
      <c r="G50" s="22">
        <f t="shared" si="1"/>
        <v>107.42511293375395</v>
      </c>
      <c r="H50" s="45">
        <f t="shared" si="2"/>
        <v>10.830848706624579</v>
      </c>
      <c r="I50" s="42">
        <f t="shared" si="3"/>
        <v>118.25596164037853</v>
      </c>
      <c r="J50" s="30">
        <f t="shared" si="5"/>
        <v>310</v>
      </c>
      <c r="K50" s="195"/>
      <c r="L50" s="27">
        <f t="shared" si="4"/>
        <v>428.25596164037853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2726249</v>
      </c>
      <c r="E51" s="1">
        <v>2739653</v>
      </c>
      <c r="F51" s="41">
        <f t="shared" si="8"/>
        <v>13.404</v>
      </c>
      <c r="G51" s="22">
        <f t="shared" si="1"/>
        <v>52.059952050473193</v>
      </c>
      <c r="H51" s="45">
        <f t="shared" si="2"/>
        <v>10.830848706624579</v>
      </c>
      <c r="I51" s="42">
        <f t="shared" si="3"/>
        <v>62.890800757097772</v>
      </c>
      <c r="J51" s="30">
        <f t="shared" si="5"/>
        <v>310</v>
      </c>
      <c r="K51" s="195"/>
      <c r="L51" s="27">
        <f t="shared" si="4"/>
        <v>372.89080075709779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4104303</v>
      </c>
      <c r="E52" s="1">
        <v>4121575</v>
      </c>
      <c r="F52" s="41">
        <f t="shared" si="8"/>
        <v>17.272000000000002</v>
      </c>
      <c r="G52" s="22">
        <f t="shared" si="1"/>
        <v>67.082922397476352</v>
      </c>
      <c r="H52" s="45">
        <f t="shared" si="2"/>
        <v>10.830848706624579</v>
      </c>
      <c r="I52" s="42">
        <f t="shared" si="3"/>
        <v>77.913771104100931</v>
      </c>
      <c r="J52" s="30">
        <f t="shared" si="5"/>
        <v>310</v>
      </c>
      <c r="K52" s="195">
        <v>10</v>
      </c>
      <c r="L52" s="27">
        <f t="shared" si="4"/>
        <v>397.91377110410093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3699533</v>
      </c>
      <c r="E53" s="1">
        <v>3707422</v>
      </c>
      <c r="F53" s="41">
        <f t="shared" si="8"/>
        <v>7.8890000000000002</v>
      </c>
      <c r="G53" s="22">
        <f t="shared" si="1"/>
        <v>30.64017917981073</v>
      </c>
      <c r="H53" s="45">
        <f t="shared" si="2"/>
        <v>10.830848706624579</v>
      </c>
      <c r="I53" s="42">
        <f t="shared" si="3"/>
        <v>41.471027886435309</v>
      </c>
      <c r="J53" s="30">
        <f t="shared" si="5"/>
        <v>310</v>
      </c>
      <c r="K53" s="195"/>
      <c r="L53" s="27">
        <f t="shared" si="4"/>
        <v>351.47102788643531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2937800</v>
      </c>
      <c r="E54" s="1">
        <v>2950625</v>
      </c>
      <c r="F54" s="41">
        <f t="shared" si="8"/>
        <v>12.825000000000001</v>
      </c>
      <c r="G54" s="22">
        <f t="shared" si="1"/>
        <v>49.811167192429032</v>
      </c>
      <c r="H54" s="45">
        <f t="shared" si="2"/>
        <v>10.830848706624579</v>
      </c>
      <c r="I54" s="42">
        <f t="shared" si="3"/>
        <v>60.642015899053611</v>
      </c>
      <c r="J54" s="30">
        <f t="shared" si="5"/>
        <v>310</v>
      </c>
      <c r="K54" s="195"/>
      <c r="L54" s="27">
        <f t="shared" si="4"/>
        <v>370.6420158990536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3042160</v>
      </c>
      <c r="E55" s="1">
        <v>3052033</v>
      </c>
      <c r="F55" s="41">
        <f t="shared" si="8"/>
        <v>9.8729999999999993</v>
      </c>
      <c r="G55" s="22">
        <f t="shared" si="1"/>
        <v>38.345859936908518</v>
      </c>
      <c r="H55" s="45">
        <f t="shared" si="2"/>
        <v>10.830848706624579</v>
      </c>
      <c r="I55" s="42">
        <f t="shared" si="3"/>
        <v>49.176708643533097</v>
      </c>
      <c r="J55" s="30">
        <f t="shared" si="5"/>
        <v>310</v>
      </c>
      <c r="K55" s="195"/>
      <c r="L55" s="27">
        <f t="shared" si="4"/>
        <v>359.17670864353312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1326991</v>
      </c>
      <c r="E56" s="1">
        <v>1329547</v>
      </c>
      <c r="F56" s="41">
        <f t="shared" si="8"/>
        <v>2.556</v>
      </c>
      <c r="G56" s="22">
        <f t="shared" si="1"/>
        <v>9.9272782334384875</v>
      </c>
      <c r="H56" s="45">
        <f t="shared" si="2"/>
        <v>10.830848706624579</v>
      </c>
      <c r="I56" s="42">
        <f t="shared" si="3"/>
        <v>20.758126940063065</v>
      </c>
      <c r="J56" s="30">
        <f t="shared" si="5"/>
        <v>310</v>
      </c>
      <c r="K56" s="195"/>
      <c r="L56" s="27">
        <f t="shared" si="4"/>
        <v>330.75812694006305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167051</v>
      </c>
      <c r="E57" s="1">
        <v>167882</v>
      </c>
      <c r="F57" s="41">
        <f>(E57-D57)*0.01</f>
        <v>8.31</v>
      </c>
      <c r="G57" s="22">
        <f t="shared" si="1"/>
        <v>32.275305993690857</v>
      </c>
      <c r="H57" s="45">
        <f t="shared" si="2"/>
        <v>10.830848706624579</v>
      </c>
      <c r="I57" s="42">
        <f t="shared" si="3"/>
        <v>43.106154700315436</v>
      </c>
      <c r="J57" s="30">
        <f t="shared" si="5"/>
        <v>310</v>
      </c>
      <c r="K57" s="195"/>
      <c r="L57" s="27">
        <f t="shared" si="4"/>
        <v>353.10615470031541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1983093</v>
      </c>
      <c r="E58" s="1">
        <v>1994169</v>
      </c>
      <c r="F58" s="41">
        <f t="shared" ref="F58:F87" si="9">(E58-D58)*$N$1</f>
        <v>11.076000000000001</v>
      </c>
      <c r="G58" s="22">
        <f t="shared" si="1"/>
        <v>43.01820567823345</v>
      </c>
      <c r="H58" s="45">
        <f t="shared" si="2"/>
        <v>10.830848706624579</v>
      </c>
      <c r="I58" s="42">
        <f t="shared" si="3"/>
        <v>53.849054384858029</v>
      </c>
      <c r="J58" s="30">
        <f t="shared" si="5"/>
        <v>310</v>
      </c>
      <c r="K58" s="195"/>
      <c r="L58" s="27">
        <f t="shared" si="4"/>
        <v>363.84905438485805</v>
      </c>
    </row>
    <row r="59" spans="1:12" ht="15" customHeight="1" x14ac:dyDescent="0.45">
      <c r="A59" s="318"/>
      <c r="B59" s="5" t="s">
        <v>5</v>
      </c>
      <c r="C59" s="2">
        <v>501</v>
      </c>
      <c r="D59" s="1">
        <v>3029997</v>
      </c>
      <c r="E59" s="1">
        <v>3074722</v>
      </c>
      <c r="F59" s="41">
        <f t="shared" si="9"/>
        <v>44.725000000000001</v>
      </c>
      <c r="G59" s="22">
        <f t="shared" si="1"/>
        <v>173.70794952681391</v>
      </c>
      <c r="H59" s="45">
        <f t="shared" si="2"/>
        <v>10.830848706624579</v>
      </c>
      <c r="I59" s="42">
        <f t="shared" si="3"/>
        <v>184.53879823343848</v>
      </c>
      <c r="J59" s="30">
        <f t="shared" si="5"/>
        <v>310</v>
      </c>
      <c r="K59" s="195"/>
      <c r="L59" s="27">
        <f t="shared" si="4"/>
        <v>494.53879823343846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3493079</v>
      </c>
      <c r="E60" s="1">
        <v>3508182</v>
      </c>
      <c r="F60" s="41">
        <f t="shared" si="9"/>
        <v>15.103</v>
      </c>
      <c r="G60" s="22">
        <f t="shared" si="1"/>
        <v>58.658717981072563</v>
      </c>
      <c r="H60" s="45">
        <f t="shared" si="2"/>
        <v>10.830848706624579</v>
      </c>
      <c r="I60" s="42">
        <f t="shared" si="3"/>
        <v>69.489566687697135</v>
      </c>
      <c r="J60" s="30">
        <f t="shared" si="5"/>
        <v>310</v>
      </c>
      <c r="K60" s="195"/>
      <c r="L60" s="27">
        <f t="shared" si="4"/>
        <v>379.48956668769711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4513410</v>
      </c>
      <c r="E61" s="1">
        <v>4539594</v>
      </c>
      <c r="F61" s="41">
        <f t="shared" si="9"/>
        <v>26.184000000000001</v>
      </c>
      <c r="G61" s="22">
        <f t="shared" si="1"/>
        <v>101.69634321766563</v>
      </c>
      <c r="H61" s="45">
        <f t="shared" si="2"/>
        <v>10.830848706624579</v>
      </c>
      <c r="I61" s="42">
        <f t="shared" si="3"/>
        <v>112.52719192429021</v>
      </c>
      <c r="J61" s="30">
        <f t="shared" si="5"/>
        <v>310</v>
      </c>
      <c r="K61" s="195"/>
      <c r="L61" s="27">
        <f t="shared" si="4"/>
        <v>422.52719192429021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2157959</v>
      </c>
      <c r="E62" s="1">
        <v>2177069</v>
      </c>
      <c r="F62" s="41">
        <f t="shared" si="9"/>
        <v>19.11</v>
      </c>
      <c r="G62" s="22">
        <f t="shared" si="1"/>
        <v>74.221552050473193</v>
      </c>
      <c r="H62" s="45">
        <f t="shared" si="2"/>
        <v>10.830848706624579</v>
      </c>
      <c r="I62" s="42">
        <f t="shared" si="3"/>
        <v>85.052400757097772</v>
      </c>
      <c r="J62" s="30">
        <f t="shared" si="5"/>
        <v>310</v>
      </c>
      <c r="K62" s="195"/>
      <c r="L62" s="27">
        <f t="shared" si="4"/>
        <v>395.05240075709776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4903173</v>
      </c>
      <c r="E63" s="1">
        <v>4920219</v>
      </c>
      <c r="F63" s="41">
        <f t="shared" si="9"/>
        <v>17.045999999999999</v>
      </c>
      <c r="G63" s="22">
        <f t="shared" si="1"/>
        <v>66.205158359621464</v>
      </c>
      <c r="H63" s="45">
        <f t="shared" si="2"/>
        <v>10.830848706624579</v>
      </c>
      <c r="I63" s="42">
        <f t="shared" si="3"/>
        <v>77.036007066246043</v>
      </c>
      <c r="J63" s="30">
        <f t="shared" si="5"/>
        <v>310</v>
      </c>
      <c r="K63" s="195"/>
      <c r="L63" s="27">
        <f t="shared" si="4"/>
        <v>387.03600706624604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4688633</v>
      </c>
      <c r="E64" s="1">
        <v>4689164</v>
      </c>
      <c r="F64" s="41">
        <f t="shared" si="9"/>
        <v>0.53100000000000003</v>
      </c>
      <c r="G64" s="22">
        <f t="shared" si="1"/>
        <v>2.0623570977917987</v>
      </c>
      <c r="H64" s="45">
        <f t="shared" si="2"/>
        <v>10.830848706624579</v>
      </c>
      <c r="I64" s="42">
        <f t="shared" si="3"/>
        <v>12.893205804416377</v>
      </c>
      <c r="J64" s="30">
        <f t="shared" si="5"/>
        <v>310</v>
      </c>
      <c r="K64" s="195"/>
      <c r="L64" s="27">
        <f t="shared" si="4"/>
        <v>322.89320580441637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3410799</v>
      </c>
      <c r="E65" s="1">
        <v>3426457</v>
      </c>
      <c r="F65" s="41">
        <f t="shared" si="9"/>
        <v>15.657999999999999</v>
      </c>
      <c r="G65" s="22">
        <f t="shared" si="1"/>
        <v>60.814288958990545</v>
      </c>
      <c r="H65" s="45">
        <f t="shared" si="2"/>
        <v>10.830848706624579</v>
      </c>
      <c r="I65" s="42">
        <f t="shared" si="3"/>
        <v>71.645137665615124</v>
      </c>
      <c r="J65" s="30">
        <f t="shared" si="5"/>
        <v>310</v>
      </c>
      <c r="K65" s="195"/>
      <c r="L65" s="27">
        <f>SUM(I65,J65,K65)</f>
        <v>381.64513766561515</v>
      </c>
    </row>
    <row r="66" spans="1:12" ht="15" customHeight="1" x14ac:dyDescent="0.45">
      <c r="A66" s="314"/>
      <c r="B66" s="5" t="s">
        <v>6</v>
      </c>
      <c r="C66" s="2">
        <v>104</v>
      </c>
      <c r="D66" s="1">
        <v>155005</v>
      </c>
      <c r="E66" s="1">
        <v>178053</v>
      </c>
      <c r="F66" s="41">
        <f t="shared" si="9"/>
        <v>23.048000000000002</v>
      </c>
      <c r="G66" s="22">
        <f t="shared" si="1"/>
        <v>89.516396214511062</v>
      </c>
      <c r="H66" s="45">
        <f t="shared" si="2"/>
        <v>10.830848706624579</v>
      </c>
      <c r="I66" s="42">
        <f t="shared" si="3"/>
        <v>100.34724492113564</v>
      </c>
      <c r="J66" s="30">
        <f t="shared" si="5"/>
        <v>310</v>
      </c>
      <c r="K66" s="195"/>
      <c r="L66" s="27">
        <f t="shared" si="4"/>
        <v>410.34724492113565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4084862</v>
      </c>
      <c r="E67" s="1">
        <v>4093633</v>
      </c>
      <c r="F67" s="41">
        <f t="shared" si="9"/>
        <v>8.7710000000000008</v>
      </c>
      <c r="G67" s="22">
        <f t="shared" si="1"/>
        <v>34.065789274447958</v>
      </c>
      <c r="H67" s="45">
        <f t="shared" si="2"/>
        <v>10.830848706624579</v>
      </c>
      <c r="I67" s="42">
        <f t="shared" si="3"/>
        <v>44.896637981072537</v>
      </c>
      <c r="J67" s="30">
        <f t="shared" si="5"/>
        <v>310</v>
      </c>
      <c r="K67" s="195"/>
      <c r="L67" s="27">
        <f t="shared" si="4"/>
        <v>354.89663798107256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4309669</v>
      </c>
      <c r="E68" s="1">
        <v>4350665</v>
      </c>
      <c r="F68" s="41">
        <f t="shared" si="9"/>
        <v>40.996000000000002</v>
      </c>
      <c r="G68" s="22">
        <f t="shared" ref="G68:G131" si="10">MMULT($G$1,1/$F$183)*F68</f>
        <v>159.22484290220822</v>
      </c>
      <c r="H68" s="45">
        <f t="shared" ref="H68:H131" si="11">MMULT($H$1,1/180)</f>
        <v>10.830848706624579</v>
      </c>
      <c r="I68" s="42">
        <f t="shared" ref="I68:I131" si="12">SUM(G68,H68)</f>
        <v>170.0556916088328</v>
      </c>
      <c r="J68" s="30">
        <f t="shared" si="5"/>
        <v>310</v>
      </c>
      <c r="K68" s="195"/>
      <c r="L68" s="27">
        <f t="shared" ref="L68:L131" si="13">SUM(I68,J68,K68)</f>
        <v>480.05569160883283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2498041</v>
      </c>
      <c r="E69" s="1">
        <v>2500019</v>
      </c>
      <c r="F69" s="41">
        <f t="shared" si="9"/>
        <v>1.978</v>
      </c>
      <c r="G69" s="22">
        <f t="shared" si="10"/>
        <v>7.682377287066247</v>
      </c>
      <c r="H69" s="45">
        <f t="shared" si="11"/>
        <v>10.830848706624579</v>
      </c>
      <c r="I69" s="42">
        <f t="shared" si="12"/>
        <v>18.513225993690824</v>
      </c>
      <c r="J69" s="30">
        <f t="shared" ref="J69:J132" si="14">SUM($J$3)</f>
        <v>310</v>
      </c>
      <c r="K69" s="195"/>
      <c r="L69" s="27">
        <f t="shared" si="13"/>
        <v>328.51322599369081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2452193</v>
      </c>
      <c r="E70" s="1">
        <v>2466217</v>
      </c>
      <c r="F70" s="41">
        <f t="shared" si="9"/>
        <v>14.024000000000001</v>
      </c>
      <c r="G70" s="22">
        <f t="shared" si="10"/>
        <v>54.467977287066255</v>
      </c>
      <c r="H70" s="45">
        <f t="shared" si="11"/>
        <v>10.830848706624579</v>
      </c>
      <c r="I70" s="42">
        <f t="shared" si="12"/>
        <v>65.298825993690826</v>
      </c>
      <c r="J70" s="30">
        <f t="shared" si="14"/>
        <v>310</v>
      </c>
      <c r="K70" s="195"/>
      <c r="L70" s="27">
        <f t="shared" si="13"/>
        <v>375.2988259936908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3919875</v>
      </c>
      <c r="E71" s="1">
        <v>3931769</v>
      </c>
      <c r="F71" s="41">
        <f t="shared" si="9"/>
        <v>11.894</v>
      </c>
      <c r="G71" s="22">
        <f t="shared" si="10"/>
        <v>46.195245425867512</v>
      </c>
      <c r="H71" s="45">
        <f t="shared" si="11"/>
        <v>10.830848706624579</v>
      </c>
      <c r="I71" s="42">
        <f t="shared" si="12"/>
        <v>57.026094132492091</v>
      </c>
      <c r="J71" s="30">
        <f t="shared" si="14"/>
        <v>310</v>
      </c>
      <c r="K71" s="195"/>
      <c r="L71" s="27">
        <f t="shared" si="13"/>
        <v>367.02609413249206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3151596</v>
      </c>
      <c r="E72" s="1">
        <v>3168554</v>
      </c>
      <c r="F72" s="41">
        <f t="shared" si="9"/>
        <v>16.958000000000002</v>
      </c>
      <c r="G72" s="22">
        <f t="shared" si="10"/>
        <v>65.863374132492126</v>
      </c>
      <c r="H72" s="45">
        <f t="shared" si="11"/>
        <v>10.830848706624579</v>
      </c>
      <c r="I72" s="42">
        <f t="shared" si="12"/>
        <v>76.694222839116705</v>
      </c>
      <c r="J72" s="30">
        <f t="shared" si="14"/>
        <v>310</v>
      </c>
      <c r="K72" s="195"/>
      <c r="L72" s="27">
        <f t="shared" si="13"/>
        <v>386.69422283911672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3502961</v>
      </c>
      <c r="E73" s="1">
        <v>3516001</v>
      </c>
      <c r="F73" s="41">
        <f t="shared" si="9"/>
        <v>13.040000000000001</v>
      </c>
      <c r="G73" s="22">
        <f t="shared" si="10"/>
        <v>50.646208201892755</v>
      </c>
      <c r="H73" s="45">
        <f t="shared" si="11"/>
        <v>10.830848706624579</v>
      </c>
      <c r="I73" s="42">
        <f t="shared" si="12"/>
        <v>61.477056908517334</v>
      </c>
      <c r="J73" s="30">
        <f t="shared" si="14"/>
        <v>310</v>
      </c>
      <c r="K73" s="195"/>
      <c r="L73" s="27">
        <f t="shared" si="13"/>
        <v>371.47705690851734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1492452</v>
      </c>
      <c r="E74" s="1">
        <v>1505584</v>
      </c>
      <c r="F74" s="41">
        <f t="shared" si="9"/>
        <v>13.132</v>
      </c>
      <c r="G74" s="22">
        <f t="shared" si="10"/>
        <v>51.003528075709788</v>
      </c>
      <c r="H74" s="45">
        <f t="shared" si="11"/>
        <v>10.830848706624579</v>
      </c>
      <c r="I74" s="42">
        <f t="shared" si="12"/>
        <v>61.834376782334367</v>
      </c>
      <c r="J74" s="30">
        <f t="shared" si="14"/>
        <v>310</v>
      </c>
      <c r="K74" s="195"/>
      <c r="L74" s="27">
        <f t="shared" si="13"/>
        <v>371.83437678233435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4783750</v>
      </c>
      <c r="E75" s="1">
        <v>4800988</v>
      </c>
      <c r="F75" s="41">
        <f t="shared" si="9"/>
        <v>17.238</v>
      </c>
      <c r="G75" s="22">
        <f t="shared" si="10"/>
        <v>66.950869400630921</v>
      </c>
      <c r="H75" s="45">
        <f t="shared" si="11"/>
        <v>10.830848706624579</v>
      </c>
      <c r="I75" s="42">
        <f t="shared" si="12"/>
        <v>77.7817181072555</v>
      </c>
      <c r="J75" s="30">
        <f t="shared" si="14"/>
        <v>310</v>
      </c>
      <c r="K75" s="195"/>
      <c r="L75" s="27">
        <f t="shared" si="13"/>
        <v>387.78171810725553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2957637</v>
      </c>
      <c r="E76" s="1">
        <v>2982691</v>
      </c>
      <c r="F76" s="41">
        <f t="shared" si="9"/>
        <v>25.054000000000002</v>
      </c>
      <c r="G76" s="22">
        <f t="shared" si="10"/>
        <v>97.307523028391188</v>
      </c>
      <c r="H76" s="45">
        <f t="shared" si="11"/>
        <v>10.830848706624579</v>
      </c>
      <c r="I76" s="42">
        <f t="shared" si="12"/>
        <v>108.13837173501577</v>
      </c>
      <c r="J76" s="30">
        <f t="shared" si="14"/>
        <v>310</v>
      </c>
      <c r="K76" s="195"/>
      <c r="L76" s="27">
        <f t="shared" si="13"/>
        <v>418.13837173501577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2746084</v>
      </c>
      <c r="E77" s="1">
        <v>2770221</v>
      </c>
      <c r="F77" s="41">
        <f t="shared" si="9"/>
        <v>24.137</v>
      </c>
      <c r="G77" s="22">
        <f t="shared" si="10"/>
        <v>93.745976025236601</v>
      </c>
      <c r="H77" s="45">
        <f t="shared" si="11"/>
        <v>10.830848706624579</v>
      </c>
      <c r="I77" s="42">
        <f t="shared" si="12"/>
        <v>104.57682473186118</v>
      </c>
      <c r="J77" s="30">
        <f t="shared" si="14"/>
        <v>310</v>
      </c>
      <c r="K77" s="195"/>
      <c r="L77" s="27">
        <f t="shared" si="13"/>
        <v>414.57682473186117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2789860</v>
      </c>
      <c r="E78" s="1">
        <v>2806004</v>
      </c>
      <c r="F78" s="41">
        <f t="shared" si="9"/>
        <v>16.144000000000002</v>
      </c>
      <c r="G78" s="22">
        <f t="shared" si="10"/>
        <v>62.701870031545759</v>
      </c>
      <c r="H78" s="45">
        <f t="shared" si="11"/>
        <v>10.830848706624579</v>
      </c>
      <c r="I78" s="42">
        <f t="shared" si="12"/>
        <v>73.532718738170331</v>
      </c>
      <c r="J78" s="30">
        <f t="shared" si="14"/>
        <v>310</v>
      </c>
      <c r="K78" s="195"/>
      <c r="L78" s="27">
        <f t="shared" si="13"/>
        <v>383.53271873817033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4765525</v>
      </c>
      <c r="E79" s="1">
        <v>4804949</v>
      </c>
      <c r="F79" s="41">
        <f t="shared" si="9"/>
        <v>39.423999999999999</v>
      </c>
      <c r="G79" s="22">
        <f t="shared" si="10"/>
        <v>153.11933375394324</v>
      </c>
      <c r="H79" s="45">
        <f t="shared" si="11"/>
        <v>10.830848706624579</v>
      </c>
      <c r="I79" s="42">
        <f t="shared" si="12"/>
        <v>163.95018246056782</v>
      </c>
      <c r="J79" s="30">
        <f t="shared" si="14"/>
        <v>310</v>
      </c>
      <c r="K79" s="195"/>
      <c r="L79" s="27">
        <f t="shared" si="13"/>
        <v>473.95018246056782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4969219</v>
      </c>
      <c r="E80" s="1">
        <v>4985943</v>
      </c>
      <c r="F80" s="41">
        <f t="shared" si="9"/>
        <v>16.724</v>
      </c>
      <c r="G80" s="22">
        <f t="shared" si="10"/>
        <v>64.954538801261833</v>
      </c>
      <c r="H80" s="45">
        <f t="shared" si="11"/>
        <v>10.830848706624579</v>
      </c>
      <c r="I80" s="42">
        <f t="shared" si="12"/>
        <v>75.785387507886412</v>
      </c>
      <c r="J80" s="30">
        <f t="shared" si="14"/>
        <v>310</v>
      </c>
      <c r="K80" s="195"/>
      <c r="L80" s="27">
        <f t="shared" si="13"/>
        <v>385.78538750788641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3190107</v>
      </c>
      <c r="E81" s="1">
        <v>3205434</v>
      </c>
      <c r="F81" s="41">
        <f t="shared" si="9"/>
        <v>15.327</v>
      </c>
      <c r="G81" s="22">
        <f t="shared" si="10"/>
        <v>59.528714195583603</v>
      </c>
      <c r="H81" s="45">
        <f t="shared" si="11"/>
        <v>10.830848706624579</v>
      </c>
      <c r="I81" s="42">
        <f t="shared" si="12"/>
        <v>70.359562902208182</v>
      </c>
      <c r="J81" s="30">
        <f t="shared" si="14"/>
        <v>310</v>
      </c>
      <c r="K81" s="195"/>
      <c r="L81" s="27">
        <f t="shared" si="13"/>
        <v>380.35956290220815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3551150</v>
      </c>
      <c r="E82" s="1">
        <v>3577963</v>
      </c>
      <c r="F82" s="41">
        <f t="shared" si="9"/>
        <v>26.812999999999999</v>
      </c>
      <c r="G82" s="22">
        <f t="shared" si="10"/>
        <v>104.139323659306</v>
      </c>
      <c r="H82" s="45">
        <f t="shared" si="11"/>
        <v>10.830848706624579</v>
      </c>
      <c r="I82" s="42">
        <f t="shared" si="12"/>
        <v>114.97017236593058</v>
      </c>
      <c r="J82" s="30">
        <f t="shared" si="14"/>
        <v>310</v>
      </c>
      <c r="K82" s="195"/>
      <c r="L82" s="27">
        <f t="shared" si="13"/>
        <v>424.97017236593058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4863964</v>
      </c>
      <c r="E83" s="1">
        <v>4905286</v>
      </c>
      <c r="F83" s="41">
        <f t="shared" si="9"/>
        <v>41.322000000000003</v>
      </c>
      <c r="G83" s="22">
        <f t="shared" si="10"/>
        <v>160.49099810725556</v>
      </c>
      <c r="H83" s="45">
        <f t="shared" si="11"/>
        <v>10.830848706624579</v>
      </c>
      <c r="I83" s="42">
        <f t="shared" si="12"/>
        <v>171.32184681388014</v>
      </c>
      <c r="J83" s="30">
        <f t="shared" si="14"/>
        <v>310</v>
      </c>
      <c r="K83" s="195"/>
      <c r="L83" s="27">
        <f t="shared" si="13"/>
        <v>481.32184681388014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1888753</v>
      </c>
      <c r="E84" s="1">
        <v>1909224</v>
      </c>
      <c r="F84" s="41">
        <f t="shared" si="9"/>
        <v>20.471</v>
      </c>
      <c r="G84" s="22">
        <f t="shared" si="10"/>
        <v>79.507555835962151</v>
      </c>
      <c r="H84" s="45">
        <f t="shared" si="11"/>
        <v>10.830848706624579</v>
      </c>
      <c r="I84" s="42">
        <f t="shared" si="12"/>
        <v>90.33840454258673</v>
      </c>
      <c r="J84" s="30">
        <f t="shared" si="14"/>
        <v>310</v>
      </c>
      <c r="K84" s="195"/>
      <c r="L84" s="27">
        <f t="shared" si="13"/>
        <v>400.33840454258672</v>
      </c>
    </row>
    <row r="85" spans="1:12" ht="15" customHeight="1" x14ac:dyDescent="0.45">
      <c r="A85" s="318"/>
      <c r="B85" s="5" t="s">
        <v>7</v>
      </c>
      <c r="C85" s="2">
        <v>103</v>
      </c>
      <c r="D85" s="1">
        <v>3037665</v>
      </c>
      <c r="E85" s="1">
        <v>3042011</v>
      </c>
      <c r="F85" s="41">
        <f t="shared" si="9"/>
        <v>4.3460000000000001</v>
      </c>
      <c r="G85" s="22">
        <f t="shared" si="10"/>
        <v>16.879480126182969</v>
      </c>
      <c r="H85" s="45">
        <f t="shared" si="11"/>
        <v>10.830848706624579</v>
      </c>
      <c r="I85" s="42">
        <f t="shared" si="12"/>
        <v>27.710328832807548</v>
      </c>
      <c r="J85" s="30">
        <f t="shared" si="14"/>
        <v>310</v>
      </c>
      <c r="K85" s="195"/>
      <c r="L85" s="27">
        <f t="shared" si="13"/>
        <v>337.71032883280753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2659362</v>
      </c>
      <c r="E86" s="1">
        <v>2676176</v>
      </c>
      <c r="F86" s="41">
        <f t="shared" si="9"/>
        <v>16.814</v>
      </c>
      <c r="G86" s="22">
        <f t="shared" si="10"/>
        <v>65.304090851735026</v>
      </c>
      <c r="H86" s="45">
        <f t="shared" si="11"/>
        <v>10.830848706624579</v>
      </c>
      <c r="I86" s="42">
        <f t="shared" si="12"/>
        <v>76.134939558359605</v>
      </c>
      <c r="J86" s="30">
        <f t="shared" si="14"/>
        <v>310</v>
      </c>
      <c r="K86" s="195"/>
      <c r="L86" s="27">
        <f t="shared" si="13"/>
        <v>386.13493955835963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5254214</v>
      </c>
      <c r="E87" s="1">
        <v>5288485</v>
      </c>
      <c r="F87" s="41">
        <f t="shared" si="9"/>
        <v>34.271000000000001</v>
      </c>
      <c r="G87" s="22">
        <f t="shared" si="10"/>
        <v>133.10553690851737</v>
      </c>
      <c r="H87" s="45">
        <f t="shared" si="11"/>
        <v>10.830848706624579</v>
      </c>
      <c r="I87" s="42">
        <f t="shared" si="12"/>
        <v>143.93638561514194</v>
      </c>
      <c r="J87" s="30">
        <f t="shared" si="14"/>
        <v>310</v>
      </c>
      <c r="K87" s="195"/>
      <c r="L87" s="27">
        <f t="shared" si="13"/>
        <v>453.93638561514194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28336</v>
      </c>
      <c r="E88" s="1">
        <v>28624</v>
      </c>
      <c r="F88" s="41">
        <f>(E88-D88)*0.01</f>
        <v>2.88</v>
      </c>
      <c r="G88" s="22">
        <f t="shared" si="10"/>
        <v>11.185665615141957</v>
      </c>
      <c r="H88" s="45">
        <f t="shared" si="11"/>
        <v>10.830848706624579</v>
      </c>
      <c r="I88" s="42">
        <f t="shared" si="12"/>
        <v>22.016514321766536</v>
      </c>
      <c r="J88" s="30">
        <f t="shared" si="14"/>
        <v>310</v>
      </c>
      <c r="K88" s="195"/>
      <c r="L88" s="27">
        <f t="shared" si="13"/>
        <v>332.01651432176652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4581362</v>
      </c>
      <c r="E89" s="1">
        <v>4609231</v>
      </c>
      <c r="F89" s="41">
        <f>(E89-D89)*$N$1</f>
        <v>27.869</v>
      </c>
      <c r="G89" s="22">
        <f t="shared" si="10"/>
        <v>108.24073438485806</v>
      </c>
      <c r="H89" s="45">
        <f t="shared" si="11"/>
        <v>10.830848706624579</v>
      </c>
      <c r="I89" s="42">
        <f t="shared" si="12"/>
        <v>119.07158309148264</v>
      </c>
      <c r="J89" s="30">
        <f t="shared" si="14"/>
        <v>310</v>
      </c>
      <c r="K89" s="195"/>
      <c r="L89" s="27">
        <f t="shared" si="13"/>
        <v>429.07158309148264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133153</v>
      </c>
      <c r="E90" s="1">
        <v>133170</v>
      </c>
      <c r="F90" s="41">
        <f>(E90-D90)*0.01</f>
        <v>0.17</v>
      </c>
      <c r="G90" s="22">
        <f t="shared" si="10"/>
        <v>0.66026498422712943</v>
      </c>
      <c r="H90" s="45">
        <f t="shared" si="11"/>
        <v>10.830848706624579</v>
      </c>
      <c r="I90" s="42">
        <f t="shared" si="12"/>
        <v>11.491113690851709</v>
      </c>
      <c r="J90" s="30">
        <f t="shared" si="14"/>
        <v>310</v>
      </c>
      <c r="K90" s="195"/>
      <c r="L90" s="27">
        <f t="shared" si="13"/>
        <v>321.49111369085171</v>
      </c>
    </row>
    <row r="91" spans="1:12" ht="15" customHeight="1" x14ac:dyDescent="0.45">
      <c r="A91" s="318"/>
      <c r="B91" s="5" t="s">
        <v>7</v>
      </c>
      <c r="C91" s="2">
        <v>301</v>
      </c>
      <c r="D91" s="1">
        <v>5083640</v>
      </c>
      <c r="E91" s="1">
        <v>5108650</v>
      </c>
      <c r="F91" s="41">
        <f t="shared" ref="F91:F103" si="15">(E91-D91)*$N$1</f>
        <v>25.01</v>
      </c>
      <c r="G91" s="22">
        <f t="shared" si="10"/>
        <v>97.136630914826512</v>
      </c>
      <c r="H91" s="45">
        <f t="shared" si="11"/>
        <v>10.830848706624579</v>
      </c>
      <c r="I91" s="42">
        <f t="shared" si="12"/>
        <v>107.96747962145109</v>
      </c>
      <c r="J91" s="30">
        <f t="shared" si="14"/>
        <v>310</v>
      </c>
      <c r="K91" s="195">
        <v>10</v>
      </c>
      <c r="L91" s="27">
        <f t="shared" si="13"/>
        <v>427.9674796214511</v>
      </c>
    </row>
    <row r="92" spans="1:12" ht="15" customHeight="1" x14ac:dyDescent="0.45">
      <c r="A92" s="318"/>
      <c r="B92" s="5" t="s">
        <v>7</v>
      </c>
      <c r="C92" s="2">
        <v>302</v>
      </c>
      <c r="D92" s="1">
        <v>68968</v>
      </c>
      <c r="E92" s="1">
        <v>102343</v>
      </c>
      <c r="F92" s="41">
        <f t="shared" si="15"/>
        <v>33.375</v>
      </c>
      <c r="G92" s="22">
        <f t="shared" si="10"/>
        <v>129.6255520504732</v>
      </c>
      <c r="H92" s="45">
        <f t="shared" si="11"/>
        <v>10.830848706624579</v>
      </c>
      <c r="I92" s="42">
        <f t="shared" si="12"/>
        <v>140.45640075709778</v>
      </c>
      <c r="J92" s="30">
        <f t="shared" si="14"/>
        <v>310</v>
      </c>
      <c r="K92" s="195"/>
      <c r="L92" s="27">
        <f t="shared" si="13"/>
        <v>450.45640075709775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4908306</v>
      </c>
      <c r="E93" s="1">
        <v>4948274</v>
      </c>
      <c r="F93" s="41">
        <f t="shared" si="15"/>
        <v>39.968000000000004</v>
      </c>
      <c r="G93" s="22">
        <f t="shared" si="10"/>
        <v>155.23218170347008</v>
      </c>
      <c r="H93" s="45">
        <f t="shared" si="11"/>
        <v>10.830848706624579</v>
      </c>
      <c r="I93" s="42">
        <f t="shared" si="12"/>
        <v>166.06303041009465</v>
      </c>
      <c r="J93" s="30">
        <f t="shared" si="14"/>
        <v>310</v>
      </c>
      <c r="K93" s="195">
        <v>10</v>
      </c>
      <c r="L93" s="27">
        <f t="shared" si="13"/>
        <v>486.06303041009465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2488885</v>
      </c>
      <c r="E94" s="1">
        <v>2499505</v>
      </c>
      <c r="F94" s="41">
        <f t="shared" si="15"/>
        <v>10.620000000000001</v>
      </c>
      <c r="G94" s="22">
        <f t="shared" si="10"/>
        <v>41.247141955835971</v>
      </c>
      <c r="H94" s="45">
        <f t="shared" si="11"/>
        <v>10.830848706624579</v>
      </c>
      <c r="I94" s="42">
        <f t="shared" si="12"/>
        <v>52.07799066246055</v>
      </c>
      <c r="J94" s="30">
        <f t="shared" si="14"/>
        <v>310</v>
      </c>
      <c r="K94" s="195"/>
      <c r="L94" s="27">
        <f t="shared" si="13"/>
        <v>362.07799066246054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3865167</v>
      </c>
      <c r="E95" s="1">
        <v>3886304</v>
      </c>
      <c r="F95" s="41">
        <f t="shared" si="15"/>
        <v>21.137</v>
      </c>
      <c r="G95" s="22">
        <f t="shared" si="10"/>
        <v>82.09424100946373</v>
      </c>
      <c r="H95" s="45">
        <f t="shared" si="11"/>
        <v>10.830848706624579</v>
      </c>
      <c r="I95" s="42">
        <f t="shared" si="12"/>
        <v>92.925089716088308</v>
      </c>
      <c r="J95" s="30">
        <f t="shared" si="14"/>
        <v>310</v>
      </c>
      <c r="K95" s="195"/>
      <c r="L95" s="27">
        <f t="shared" si="13"/>
        <v>402.92508971608834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3319470</v>
      </c>
      <c r="E96" s="1">
        <v>3335356</v>
      </c>
      <c r="F96" s="41">
        <f t="shared" si="15"/>
        <v>15.886000000000001</v>
      </c>
      <c r="G96" s="22">
        <f t="shared" si="10"/>
        <v>61.699820820189288</v>
      </c>
      <c r="H96" s="45">
        <f t="shared" si="11"/>
        <v>10.830848706624579</v>
      </c>
      <c r="I96" s="42">
        <f t="shared" si="12"/>
        <v>72.530669526813867</v>
      </c>
      <c r="J96" s="30">
        <f t="shared" si="14"/>
        <v>310</v>
      </c>
      <c r="K96" s="195"/>
      <c r="L96" s="27">
        <f t="shared" si="13"/>
        <v>382.53066952681388</v>
      </c>
    </row>
    <row r="97" spans="1:12" ht="15" customHeight="1" x14ac:dyDescent="0.45">
      <c r="A97" s="318"/>
      <c r="B97" s="5" t="s">
        <v>7</v>
      </c>
      <c r="C97" s="2">
        <v>403</v>
      </c>
      <c r="D97" s="1">
        <v>3032637</v>
      </c>
      <c r="E97" s="1">
        <v>3043031</v>
      </c>
      <c r="F97" s="41">
        <f t="shared" si="15"/>
        <v>10.394</v>
      </c>
      <c r="G97" s="22">
        <f t="shared" si="10"/>
        <v>40.369377917981076</v>
      </c>
      <c r="H97" s="45">
        <f t="shared" si="11"/>
        <v>10.830848706624579</v>
      </c>
      <c r="I97" s="42">
        <f t="shared" si="12"/>
        <v>51.200226624605655</v>
      </c>
      <c r="J97" s="30">
        <f t="shared" si="14"/>
        <v>310</v>
      </c>
      <c r="K97" s="195"/>
      <c r="L97" s="27">
        <f t="shared" si="13"/>
        <v>361.20022662460565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3226764</v>
      </c>
      <c r="E98" s="1">
        <v>3245123</v>
      </c>
      <c r="F98" s="41">
        <f t="shared" si="15"/>
        <v>18.359000000000002</v>
      </c>
      <c r="G98" s="22">
        <f t="shared" si="10"/>
        <v>71.304734384858065</v>
      </c>
      <c r="H98" s="45">
        <f t="shared" si="11"/>
        <v>10.830848706624579</v>
      </c>
      <c r="I98" s="42">
        <f t="shared" si="12"/>
        <v>82.135583091482644</v>
      </c>
      <c r="J98" s="30">
        <f t="shared" si="14"/>
        <v>310</v>
      </c>
      <c r="K98" s="195"/>
      <c r="L98" s="27">
        <f t="shared" si="13"/>
        <v>392.13558309148266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2799905</v>
      </c>
      <c r="E99" s="1">
        <v>2818092</v>
      </c>
      <c r="F99" s="41">
        <f t="shared" si="15"/>
        <v>18.187000000000001</v>
      </c>
      <c r="G99" s="22">
        <f t="shared" si="10"/>
        <v>70.636701577287084</v>
      </c>
      <c r="H99" s="45">
        <f t="shared" si="11"/>
        <v>10.830848706624579</v>
      </c>
      <c r="I99" s="42">
        <f t="shared" si="12"/>
        <v>81.467550283911663</v>
      </c>
      <c r="J99" s="30">
        <f t="shared" si="14"/>
        <v>310</v>
      </c>
      <c r="K99" s="195"/>
      <c r="L99" s="27">
        <f t="shared" si="13"/>
        <v>391.46755028391169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2552723</v>
      </c>
      <c r="E100" s="1">
        <v>2561795</v>
      </c>
      <c r="F100" s="41">
        <f t="shared" si="15"/>
        <v>9.072000000000001</v>
      </c>
      <c r="G100" s="22">
        <f t="shared" si="10"/>
        <v>35.234846687697171</v>
      </c>
      <c r="H100" s="45">
        <f t="shared" si="11"/>
        <v>10.830848706624579</v>
      </c>
      <c r="I100" s="42">
        <f t="shared" si="12"/>
        <v>46.06569539432175</v>
      </c>
      <c r="J100" s="30">
        <f t="shared" si="14"/>
        <v>310</v>
      </c>
      <c r="K100" s="195"/>
      <c r="L100" s="27">
        <f t="shared" si="13"/>
        <v>356.06569539432178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3181548</v>
      </c>
      <c r="E101" s="1">
        <v>3199775</v>
      </c>
      <c r="F101" s="41">
        <f t="shared" si="15"/>
        <v>18.227</v>
      </c>
      <c r="G101" s="22">
        <f t="shared" si="10"/>
        <v>70.792058044164051</v>
      </c>
      <c r="H101" s="45">
        <f t="shared" si="11"/>
        <v>10.830848706624579</v>
      </c>
      <c r="I101" s="42">
        <f t="shared" si="12"/>
        <v>81.62290675078863</v>
      </c>
      <c r="J101" s="30">
        <f t="shared" si="14"/>
        <v>310</v>
      </c>
      <c r="K101" s="195">
        <v>10</v>
      </c>
      <c r="L101" s="27">
        <f t="shared" si="13"/>
        <v>401.62290675078862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4160087</v>
      </c>
      <c r="E102" s="1">
        <v>4180685</v>
      </c>
      <c r="F102" s="41">
        <f t="shared" si="15"/>
        <v>20.597999999999999</v>
      </c>
      <c r="G102" s="22">
        <f t="shared" si="10"/>
        <v>80.000812618296536</v>
      </c>
      <c r="H102" s="45">
        <f t="shared" si="11"/>
        <v>10.830848706624579</v>
      </c>
      <c r="I102" s="42">
        <f t="shared" si="12"/>
        <v>90.831661324921114</v>
      </c>
      <c r="J102" s="30">
        <f t="shared" si="14"/>
        <v>310</v>
      </c>
      <c r="K102" s="195"/>
      <c r="L102" s="27">
        <f t="shared" si="13"/>
        <v>400.83166132492113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3856452</v>
      </c>
      <c r="E103" s="1">
        <v>3884964</v>
      </c>
      <c r="F103" s="41">
        <f t="shared" si="15"/>
        <v>28.512</v>
      </c>
      <c r="G103" s="22">
        <f t="shared" si="10"/>
        <v>110.73808958990539</v>
      </c>
      <c r="H103" s="45">
        <f t="shared" si="11"/>
        <v>10.830848706624579</v>
      </c>
      <c r="I103" s="42">
        <f t="shared" si="12"/>
        <v>121.56893829652996</v>
      </c>
      <c r="J103" s="30">
        <f t="shared" si="14"/>
        <v>310</v>
      </c>
      <c r="K103" s="195"/>
      <c r="L103" s="27">
        <f t="shared" si="13"/>
        <v>431.56893829652995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160238</v>
      </c>
      <c r="E104" s="1">
        <v>162646</v>
      </c>
      <c r="F104" s="41">
        <f>(E104-D104)*0.01</f>
        <v>24.080000000000002</v>
      </c>
      <c r="G104" s="22">
        <f t="shared" si="10"/>
        <v>93.524593059936933</v>
      </c>
      <c r="H104" s="45">
        <f t="shared" si="11"/>
        <v>10.830848706624579</v>
      </c>
      <c r="I104" s="42">
        <f t="shared" si="12"/>
        <v>104.35544176656151</v>
      </c>
      <c r="J104" s="30">
        <f t="shared" si="14"/>
        <v>310</v>
      </c>
      <c r="K104" s="195"/>
      <c r="L104" s="27">
        <f t="shared" si="13"/>
        <v>414.35544176656151</v>
      </c>
    </row>
    <row r="105" spans="1:12" ht="15" customHeight="1" x14ac:dyDescent="0.45">
      <c r="A105" s="314"/>
      <c r="B105" s="5" t="s">
        <v>8</v>
      </c>
      <c r="C105" s="2">
        <v>103</v>
      </c>
      <c r="D105" s="1">
        <v>100668</v>
      </c>
      <c r="E105" s="1">
        <v>118858</v>
      </c>
      <c r="F105" s="41">
        <f t="shared" ref="F105:F123" si="16">(E105-D105)*$N$1</f>
        <v>18.190000000000001</v>
      </c>
      <c r="G105" s="22">
        <f t="shared" si="10"/>
        <v>70.648353312302859</v>
      </c>
      <c r="H105" s="45">
        <f t="shared" si="11"/>
        <v>10.830848706624579</v>
      </c>
      <c r="I105" s="42">
        <f t="shared" si="12"/>
        <v>81.479202018927438</v>
      </c>
      <c r="J105" s="30">
        <f t="shared" si="14"/>
        <v>310</v>
      </c>
      <c r="K105" s="195"/>
      <c r="L105" s="27">
        <f t="shared" si="13"/>
        <v>391.47920201892742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443912</v>
      </c>
      <c r="E106" s="1">
        <v>443956</v>
      </c>
      <c r="F106" s="41">
        <f t="shared" si="16"/>
        <v>4.3999999999999997E-2</v>
      </c>
      <c r="G106" s="22">
        <f t="shared" si="10"/>
        <v>0.1708921135646688</v>
      </c>
      <c r="H106" s="45">
        <f t="shared" si="11"/>
        <v>10.830848706624579</v>
      </c>
      <c r="I106" s="42">
        <f t="shared" si="12"/>
        <v>11.001740820189248</v>
      </c>
      <c r="J106" s="30">
        <f t="shared" si="14"/>
        <v>310</v>
      </c>
      <c r="K106" s="195"/>
      <c r="L106" s="27">
        <f t="shared" si="13"/>
        <v>321.00174082018924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11777</v>
      </c>
      <c r="E107" s="1">
        <v>11777</v>
      </c>
      <c r="F107" s="41">
        <f t="shared" si="16"/>
        <v>0</v>
      </c>
      <c r="G107" s="22">
        <f t="shared" si="10"/>
        <v>0</v>
      </c>
      <c r="H107" s="45">
        <f t="shared" si="11"/>
        <v>10.830848706624579</v>
      </c>
      <c r="I107" s="42">
        <f t="shared" si="12"/>
        <v>10.830848706624579</v>
      </c>
      <c r="J107" s="30">
        <f t="shared" si="14"/>
        <v>310</v>
      </c>
      <c r="K107" s="195"/>
      <c r="L107" s="27">
        <f t="shared" si="13"/>
        <v>320.83084870662458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168677</v>
      </c>
      <c r="E108" s="1">
        <v>187733</v>
      </c>
      <c r="F108" s="41">
        <f t="shared" si="16"/>
        <v>19.056000000000001</v>
      </c>
      <c r="G108" s="22">
        <f t="shared" si="10"/>
        <v>74.011820820189286</v>
      </c>
      <c r="H108" s="45">
        <f t="shared" si="11"/>
        <v>10.830848706624579</v>
      </c>
      <c r="I108" s="42">
        <f t="shared" si="12"/>
        <v>84.842669526813864</v>
      </c>
      <c r="J108" s="30">
        <f t="shared" si="14"/>
        <v>310</v>
      </c>
      <c r="K108" s="195"/>
      <c r="L108" s="27">
        <f t="shared" si="13"/>
        <v>394.84266952681389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3604189</v>
      </c>
      <c r="E109" s="1">
        <v>3614583</v>
      </c>
      <c r="F109" s="41">
        <f t="shared" si="16"/>
        <v>10.394</v>
      </c>
      <c r="G109" s="22">
        <f t="shared" si="10"/>
        <v>40.369377917981076</v>
      </c>
      <c r="H109" s="45">
        <f t="shared" si="11"/>
        <v>10.830848706624579</v>
      </c>
      <c r="I109" s="42">
        <f t="shared" si="12"/>
        <v>51.200226624605655</v>
      </c>
      <c r="J109" s="30">
        <f t="shared" si="14"/>
        <v>310</v>
      </c>
      <c r="K109" s="195"/>
      <c r="L109" s="27">
        <f t="shared" si="13"/>
        <v>361.20022662460565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1957698</v>
      </c>
      <c r="E110" s="1">
        <v>1970934</v>
      </c>
      <c r="F110" s="41">
        <f t="shared" si="16"/>
        <v>13.236000000000001</v>
      </c>
      <c r="G110" s="22">
        <f t="shared" si="10"/>
        <v>51.407454889589914</v>
      </c>
      <c r="H110" s="45">
        <f t="shared" si="11"/>
        <v>10.830848706624579</v>
      </c>
      <c r="I110" s="42">
        <f t="shared" si="12"/>
        <v>62.238303596214493</v>
      </c>
      <c r="J110" s="30">
        <f t="shared" si="14"/>
        <v>310</v>
      </c>
      <c r="K110" s="195"/>
      <c r="L110" s="27">
        <f t="shared" si="13"/>
        <v>372.23830359621451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3668615</v>
      </c>
      <c r="E111" s="1">
        <v>3681520</v>
      </c>
      <c r="F111" s="41">
        <f t="shared" si="16"/>
        <v>12.905000000000001</v>
      </c>
      <c r="G111" s="22">
        <f t="shared" si="10"/>
        <v>50.12188012618298</v>
      </c>
      <c r="H111" s="45">
        <f t="shared" si="11"/>
        <v>10.830848706624579</v>
      </c>
      <c r="I111" s="42">
        <f t="shared" si="12"/>
        <v>60.952728832807558</v>
      </c>
      <c r="J111" s="30">
        <f t="shared" si="14"/>
        <v>310</v>
      </c>
      <c r="K111" s="195"/>
      <c r="L111" s="27">
        <f t="shared" si="13"/>
        <v>370.95272883280757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3355001</v>
      </c>
      <c r="E112" s="1">
        <v>3363030</v>
      </c>
      <c r="F112" s="41">
        <f t="shared" si="16"/>
        <v>8.0289999999999999</v>
      </c>
      <c r="G112" s="22">
        <f t="shared" si="10"/>
        <v>31.183926813880131</v>
      </c>
      <c r="H112" s="45">
        <f t="shared" si="11"/>
        <v>10.830848706624579</v>
      </c>
      <c r="I112" s="42">
        <f t="shared" si="12"/>
        <v>42.014775520504713</v>
      </c>
      <c r="J112" s="30">
        <f t="shared" si="14"/>
        <v>310</v>
      </c>
      <c r="K112" s="195"/>
      <c r="L112" s="27">
        <f t="shared" si="13"/>
        <v>352.01477552050471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3712906</v>
      </c>
      <c r="E113" s="1">
        <v>3750427</v>
      </c>
      <c r="F113" s="41">
        <f t="shared" si="16"/>
        <v>37.521000000000001</v>
      </c>
      <c r="G113" s="22">
        <f t="shared" si="10"/>
        <v>145.72824984227131</v>
      </c>
      <c r="H113" s="45">
        <f t="shared" si="11"/>
        <v>10.830848706624579</v>
      </c>
      <c r="I113" s="42">
        <f t="shared" si="12"/>
        <v>156.55909854889589</v>
      </c>
      <c r="J113" s="30">
        <f t="shared" si="14"/>
        <v>310</v>
      </c>
      <c r="K113" s="195"/>
      <c r="L113" s="27">
        <f t="shared" si="13"/>
        <v>466.55909854889592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50493</v>
      </c>
      <c r="E114" s="1">
        <v>68463</v>
      </c>
      <c r="F114" s="41">
        <f t="shared" si="16"/>
        <v>17.97</v>
      </c>
      <c r="G114" s="22">
        <f t="shared" si="10"/>
        <v>69.793892744479507</v>
      </c>
      <c r="H114" s="45">
        <f t="shared" si="11"/>
        <v>10.830848706624579</v>
      </c>
      <c r="I114" s="42">
        <f t="shared" si="12"/>
        <v>80.624741451104086</v>
      </c>
      <c r="J114" s="30">
        <f t="shared" si="14"/>
        <v>310</v>
      </c>
      <c r="K114" s="195"/>
      <c r="L114" s="27">
        <f t="shared" si="13"/>
        <v>390.62474145110411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2805311</v>
      </c>
      <c r="E115" s="1">
        <v>2820207</v>
      </c>
      <c r="F115" s="41">
        <f t="shared" si="16"/>
        <v>14.896000000000001</v>
      </c>
      <c r="G115" s="22">
        <f t="shared" si="10"/>
        <v>57.854748264984238</v>
      </c>
      <c r="H115" s="45">
        <f t="shared" si="11"/>
        <v>10.830848706624579</v>
      </c>
      <c r="I115" s="42">
        <f t="shared" si="12"/>
        <v>68.685596971608817</v>
      </c>
      <c r="J115" s="30">
        <f t="shared" si="14"/>
        <v>310</v>
      </c>
      <c r="K115" s="195"/>
      <c r="L115" s="27">
        <f t="shared" si="13"/>
        <v>378.68559697160879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6824</v>
      </c>
      <c r="E116" s="1">
        <v>7130</v>
      </c>
      <c r="F116" s="41">
        <f t="shared" si="16"/>
        <v>0.30599999999999999</v>
      </c>
      <c r="G116" s="22">
        <f t="shared" si="10"/>
        <v>1.188476971608833</v>
      </c>
      <c r="H116" s="45">
        <f t="shared" si="11"/>
        <v>10.830848706624579</v>
      </c>
      <c r="I116" s="42">
        <f t="shared" si="12"/>
        <v>12.019325678233411</v>
      </c>
      <c r="J116" s="30">
        <f t="shared" si="14"/>
        <v>310</v>
      </c>
      <c r="K116" s="195"/>
      <c r="L116" s="27">
        <f t="shared" si="13"/>
        <v>322.01932567823343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533355</v>
      </c>
      <c r="E117" s="1">
        <v>535031</v>
      </c>
      <c r="F117" s="41">
        <f t="shared" si="16"/>
        <v>1.6759999999999999</v>
      </c>
      <c r="G117" s="22">
        <f t="shared" si="10"/>
        <v>6.509435962145111</v>
      </c>
      <c r="H117" s="45">
        <f t="shared" si="11"/>
        <v>10.830848706624579</v>
      </c>
      <c r="I117" s="42">
        <f t="shared" si="12"/>
        <v>17.340284668769691</v>
      </c>
      <c r="J117" s="30">
        <f t="shared" si="14"/>
        <v>310</v>
      </c>
      <c r="K117" s="195">
        <v>10</v>
      </c>
      <c r="L117" s="27">
        <f t="shared" si="13"/>
        <v>337.3402846687697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2752330</v>
      </c>
      <c r="E118" s="1">
        <v>2766348</v>
      </c>
      <c r="F118" s="41">
        <f t="shared" si="16"/>
        <v>14.018000000000001</v>
      </c>
      <c r="G118" s="22">
        <f t="shared" si="10"/>
        <v>54.444673817034712</v>
      </c>
      <c r="H118" s="45">
        <f t="shared" si="11"/>
        <v>10.830848706624579</v>
      </c>
      <c r="I118" s="42">
        <f t="shared" si="12"/>
        <v>65.275522523659291</v>
      </c>
      <c r="J118" s="30">
        <f t="shared" si="14"/>
        <v>310</v>
      </c>
      <c r="K118" s="195">
        <v>10</v>
      </c>
      <c r="L118" s="27">
        <f t="shared" si="13"/>
        <v>385.27552252365928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2808768</v>
      </c>
      <c r="E119" s="1">
        <v>2837443</v>
      </c>
      <c r="F119" s="41">
        <f t="shared" si="16"/>
        <v>28.675000000000001</v>
      </c>
      <c r="G119" s="22">
        <f t="shared" si="10"/>
        <v>111.37116719242904</v>
      </c>
      <c r="H119" s="45">
        <f t="shared" si="11"/>
        <v>10.830848706624579</v>
      </c>
      <c r="I119" s="42">
        <f t="shared" si="12"/>
        <v>122.20201589905362</v>
      </c>
      <c r="J119" s="30">
        <f t="shared" si="14"/>
        <v>310</v>
      </c>
      <c r="K119" s="195"/>
      <c r="L119" s="27">
        <f t="shared" si="13"/>
        <v>432.20201589905361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5935593</v>
      </c>
      <c r="E120" s="1">
        <v>5972385</v>
      </c>
      <c r="F120" s="41">
        <f t="shared" si="16"/>
        <v>36.792000000000002</v>
      </c>
      <c r="G120" s="22">
        <f t="shared" si="10"/>
        <v>142.89687823343851</v>
      </c>
      <c r="H120" s="45">
        <f t="shared" si="11"/>
        <v>10.830848706624579</v>
      </c>
      <c r="I120" s="42">
        <f t="shared" si="12"/>
        <v>153.72772694006309</v>
      </c>
      <c r="J120" s="30">
        <f t="shared" si="14"/>
        <v>310</v>
      </c>
      <c r="K120" s="195"/>
      <c r="L120" s="27">
        <f t="shared" si="13"/>
        <v>463.72772694006312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105975</v>
      </c>
      <c r="E121" s="1">
        <v>123295</v>
      </c>
      <c r="F121" s="41">
        <f t="shared" si="16"/>
        <v>17.32</v>
      </c>
      <c r="G121" s="22">
        <f t="shared" si="10"/>
        <v>67.269350157728724</v>
      </c>
      <c r="H121" s="45">
        <f t="shared" si="11"/>
        <v>10.830848706624579</v>
      </c>
      <c r="I121" s="42">
        <f t="shared" si="12"/>
        <v>78.100198864353302</v>
      </c>
      <c r="J121" s="30">
        <f t="shared" si="14"/>
        <v>310</v>
      </c>
      <c r="K121" s="195"/>
      <c r="L121" s="27">
        <f t="shared" si="13"/>
        <v>388.10019886435327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4363536</v>
      </c>
      <c r="E122" s="1">
        <v>4393422</v>
      </c>
      <c r="F122" s="41">
        <f t="shared" si="16"/>
        <v>29.885999999999999</v>
      </c>
      <c r="G122" s="22">
        <f t="shared" si="10"/>
        <v>116.07458422712935</v>
      </c>
      <c r="H122" s="45">
        <f t="shared" si="11"/>
        <v>10.830848706624579</v>
      </c>
      <c r="I122" s="42">
        <f t="shared" si="12"/>
        <v>126.90543293375393</v>
      </c>
      <c r="J122" s="30">
        <f t="shared" si="14"/>
        <v>310</v>
      </c>
      <c r="K122" s="195"/>
      <c r="L122" s="27">
        <f t="shared" si="13"/>
        <v>436.9054329337539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49965</v>
      </c>
      <c r="E123" s="1">
        <v>65273</v>
      </c>
      <c r="F123" s="41">
        <f t="shared" si="16"/>
        <v>15.308</v>
      </c>
      <c r="G123" s="22">
        <f t="shared" si="10"/>
        <v>59.45491987381704</v>
      </c>
      <c r="H123" s="45">
        <f t="shared" si="11"/>
        <v>10.830848706624579</v>
      </c>
      <c r="I123" s="42">
        <f t="shared" si="12"/>
        <v>70.285768580441612</v>
      </c>
      <c r="J123" s="30">
        <f t="shared" si="14"/>
        <v>310</v>
      </c>
      <c r="K123" s="195"/>
      <c r="L123" s="27">
        <f t="shared" si="13"/>
        <v>380.28576858044164</v>
      </c>
    </row>
    <row r="124" spans="1:12" ht="15" customHeight="1" x14ac:dyDescent="0.45">
      <c r="A124" s="318"/>
      <c r="B124" s="159" t="s">
        <v>9</v>
      </c>
      <c r="C124" s="2">
        <v>102</v>
      </c>
      <c r="D124" s="1">
        <v>23657</v>
      </c>
      <c r="E124" s="1">
        <v>23913</v>
      </c>
      <c r="F124" s="41">
        <f>(E124-D124)*0.01</f>
        <v>2.56</v>
      </c>
      <c r="G124" s="22">
        <f t="shared" si="10"/>
        <v>9.9428138801261845</v>
      </c>
      <c r="H124" s="45">
        <f t="shared" si="11"/>
        <v>10.830848706624579</v>
      </c>
      <c r="I124" s="42">
        <f t="shared" si="12"/>
        <v>20.773662586750763</v>
      </c>
      <c r="J124" s="30">
        <f t="shared" si="14"/>
        <v>310</v>
      </c>
      <c r="K124" s="195"/>
      <c r="L124" s="27">
        <f t="shared" si="13"/>
        <v>330.77366258675079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2985726</v>
      </c>
      <c r="E125" s="1">
        <v>3015880</v>
      </c>
      <c r="F125" s="41">
        <f t="shared" ref="F125:F182" si="17">(E125-D125)*$N$1</f>
        <v>30.154</v>
      </c>
      <c r="G125" s="22">
        <f t="shared" si="10"/>
        <v>117.11547255520506</v>
      </c>
      <c r="H125" s="45">
        <f t="shared" si="11"/>
        <v>10.830848706624579</v>
      </c>
      <c r="I125" s="42">
        <f t="shared" si="12"/>
        <v>127.94632126182964</v>
      </c>
      <c r="J125" s="30">
        <f t="shared" si="14"/>
        <v>310</v>
      </c>
      <c r="K125" s="195"/>
      <c r="L125" s="27">
        <f t="shared" si="13"/>
        <v>437.94632126182967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2919375</v>
      </c>
      <c r="E126" s="1">
        <v>2936211</v>
      </c>
      <c r="F126" s="41">
        <f t="shared" si="17"/>
        <v>16.836000000000002</v>
      </c>
      <c r="G126" s="22">
        <f t="shared" si="10"/>
        <v>65.389536908517371</v>
      </c>
      <c r="H126" s="45">
        <f t="shared" si="11"/>
        <v>10.830848706624579</v>
      </c>
      <c r="I126" s="42">
        <f t="shared" si="12"/>
        <v>76.22038561514195</v>
      </c>
      <c r="J126" s="30">
        <f t="shared" si="14"/>
        <v>310</v>
      </c>
      <c r="K126" s="195"/>
      <c r="L126" s="27">
        <f t="shared" si="13"/>
        <v>386.22038561514194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2638373</v>
      </c>
      <c r="E127" s="1">
        <v>2651513</v>
      </c>
      <c r="F127" s="41">
        <f t="shared" si="17"/>
        <v>13.14</v>
      </c>
      <c r="G127" s="22">
        <f t="shared" si="10"/>
        <v>51.034599369085186</v>
      </c>
      <c r="H127" s="45">
        <f t="shared" si="11"/>
        <v>10.830848706624579</v>
      </c>
      <c r="I127" s="42">
        <f t="shared" si="12"/>
        <v>61.865448075709764</v>
      </c>
      <c r="J127" s="30">
        <f t="shared" si="14"/>
        <v>310</v>
      </c>
      <c r="K127" s="195"/>
      <c r="L127" s="27">
        <f t="shared" si="13"/>
        <v>371.86544807570976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4780006</v>
      </c>
      <c r="E128" s="1">
        <v>4797971</v>
      </c>
      <c r="F128" s="41">
        <f t="shared" si="17"/>
        <v>17.965</v>
      </c>
      <c r="G128" s="22">
        <f t="shared" si="10"/>
        <v>69.774473186119877</v>
      </c>
      <c r="H128" s="45">
        <f t="shared" si="11"/>
        <v>10.830848706624579</v>
      </c>
      <c r="I128" s="42">
        <f t="shared" si="12"/>
        <v>80.605321892744456</v>
      </c>
      <c r="J128" s="30">
        <f t="shared" si="14"/>
        <v>310</v>
      </c>
      <c r="K128" s="195"/>
      <c r="L128" s="27">
        <f t="shared" si="13"/>
        <v>390.60532189274443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2044059</v>
      </c>
      <c r="E129" s="1">
        <v>2054383</v>
      </c>
      <c r="F129" s="41">
        <f t="shared" si="17"/>
        <v>10.324</v>
      </c>
      <c r="G129" s="22">
        <f t="shared" si="10"/>
        <v>40.097504100946374</v>
      </c>
      <c r="H129" s="45">
        <f t="shared" si="11"/>
        <v>10.830848706624579</v>
      </c>
      <c r="I129" s="42">
        <f t="shared" si="12"/>
        <v>50.928352807570953</v>
      </c>
      <c r="J129" s="30">
        <f t="shared" si="14"/>
        <v>310</v>
      </c>
      <c r="K129" s="195"/>
      <c r="L129" s="27">
        <f t="shared" si="13"/>
        <v>360.92835280757095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2938180</v>
      </c>
      <c r="E130" s="1">
        <v>2943848</v>
      </c>
      <c r="F130" s="41">
        <f t="shared" si="17"/>
        <v>5.6680000000000001</v>
      </c>
      <c r="G130" s="22">
        <f t="shared" si="10"/>
        <v>22.014011356466881</v>
      </c>
      <c r="H130" s="45">
        <f t="shared" si="11"/>
        <v>10.830848706624579</v>
      </c>
      <c r="I130" s="42">
        <f t="shared" si="12"/>
        <v>32.84486006309146</v>
      </c>
      <c r="J130" s="30">
        <f t="shared" si="14"/>
        <v>310</v>
      </c>
      <c r="K130" s="195"/>
      <c r="L130" s="27">
        <f t="shared" si="13"/>
        <v>342.84486006309146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3058851</v>
      </c>
      <c r="E131" s="1">
        <v>3077524</v>
      </c>
      <c r="F131" s="41">
        <f t="shared" si="17"/>
        <v>18.673000000000002</v>
      </c>
      <c r="G131" s="22">
        <f t="shared" si="10"/>
        <v>72.524282649842291</v>
      </c>
      <c r="H131" s="45">
        <f t="shared" si="11"/>
        <v>10.830848706624579</v>
      </c>
      <c r="I131" s="42">
        <f t="shared" si="12"/>
        <v>83.35513135646687</v>
      </c>
      <c r="J131" s="30">
        <f t="shared" si="14"/>
        <v>310</v>
      </c>
      <c r="K131" s="195"/>
      <c r="L131" s="27">
        <f t="shared" si="13"/>
        <v>393.35513135646687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1885554</v>
      </c>
      <c r="E132" s="1">
        <v>1889662</v>
      </c>
      <c r="F132" s="41">
        <f t="shared" si="17"/>
        <v>4.1079999999999997</v>
      </c>
      <c r="G132" s="22">
        <f t="shared" ref="G132:G183" si="18">MMULT($G$1,1/$F$183)*F132</f>
        <v>15.955109148264984</v>
      </c>
      <c r="H132" s="45">
        <f t="shared" ref="H132:H182" si="19">MMULT($H$1,1/180)</f>
        <v>10.830848706624579</v>
      </c>
      <c r="I132" s="42">
        <f t="shared" ref="I132:I183" si="20">SUM(G132,H132)</f>
        <v>26.785957854889563</v>
      </c>
      <c r="J132" s="30">
        <f t="shared" si="14"/>
        <v>310</v>
      </c>
      <c r="K132" s="195"/>
      <c r="L132" s="27">
        <f t="shared" ref="L132:L182" si="21">SUM(I132,J132,K132)</f>
        <v>336.78595785488955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3451757</v>
      </c>
      <c r="E133" s="1">
        <v>3467393</v>
      </c>
      <c r="F133" s="41">
        <f t="shared" si="17"/>
        <v>15.636000000000001</v>
      </c>
      <c r="G133" s="22">
        <f t="shared" si="18"/>
        <v>60.728842902208214</v>
      </c>
      <c r="H133" s="45">
        <f t="shared" si="19"/>
        <v>10.830848706624579</v>
      </c>
      <c r="I133" s="42">
        <f t="shared" si="20"/>
        <v>71.559691608832793</v>
      </c>
      <c r="J133" s="30">
        <f t="shared" ref="J133:J182" si="22">SUM($J$3)</f>
        <v>310</v>
      </c>
      <c r="K133" s="195"/>
      <c r="L133" s="27">
        <f t="shared" si="21"/>
        <v>381.55969160883279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4026131</v>
      </c>
      <c r="E134" s="1">
        <v>4041094</v>
      </c>
      <c r="F134" s="41">
        <f t="shared" si="17"/>
        <v>14.963000000000001</v>
      </c>
      <c r="G134" s="22">
        <f t="shared" si="18"/>
        <v>58.114970347003165</v>
      </c>
      <c r="H134" s="45">
        <f t="shared" si="19"/>
        <v>10.830848706624579</v>
      </c>
      <c r="I134" s="42">
        <f t="shared" si="20"/>
        <v>68.945819053627744</v>
      </c>
      <c r="J134" s="30">
        <f t="shared" si="22"/>
        <v>310</v>
      </c>
      <c r="K134" s="195"/>
      <c r="L134" s="27">
        <f t="shared" si="21"/>
        <v>378.94581905362776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1925795</v>
      </c>
      <c r="E135" s="1">
        <v>1934324</v>
      </c>
      <c r="F135" s="41">
        <f t="shared" si="17"/>
        <v>8.5289999999999999</v>
      </c>
      <c r="G135" s="22">
        <f t="shared" si="18"/>
        <v>33.125882649842275</v>
      </c>
      <c r="H135" s="45">
        <f t="shared" si="19"/>
        <v>10.830848706624579</v>
      </c>
      <c r="I135" s="42">
        <f t="shared" si="20"/>
        <v>43.956731356466854</v>
      </c>
      <c r="J135" s="30">
        <f t="shared" si="22"/>
        <v>310</v>
      </c>
      <c r="K135" s="195"/>
      <c r="L135" s="27">
        <f t="shared" si="21"/>
        <v>353.95673135646683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2016822</v>
      </c>
      <c r="E136" s="1">
        <v>2018302</v>
      </c>
      <c r="F136" s="41">
        <f t="shared" si="17"/>
        <v>1.48</v>
      </c>
      <c r="G136" s="22">
        <f t="shared" si="18"/>
        <v>5.7481892744479506</v>
      </c>
      <c r="H136" s="45">
        <f t="shared" si="19"/>
        <v>10.830848706624579</v>
      </c>
      <c r="I136" s="42">
        <f t="shared" si="20"/>
        <v>16.579037981072531</v>
      </c>
      <c r="J136" s="30">
        <f t="shared" si="22"/>
        <v>310</v>
      </c>
      <c r="K136" s="195"/>
      <c r="L136" s="27">
        <f t="shared" si="21"/>
        <v>326.57903798107253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4534555</v>
      </c>
      <c r="E137" s="1">
        <v>4554994</v>
      </c>
      <c r="F137" s="41">
        <f t="shared" si="17"/>
        <v>20.439</v>
      </c>
      <c r="G137" s="22">
        <f t="shared" si="18"/>
        <v>79.383270662460575</v>
      </c>
      <c r="H137" s="45">
        <f t="shared" si="19"/>
        <v>10.830848706624579</v>
      </c>
      <c r="I137" s="42">
        <f t="shared" si="20"/>
        <v>90.214119369085154</v>
      </c>
      <c r="J137" s="30">
        <f t="shared" si="22"/>
        <v>310</v>
      </c>
      <c r="K137" s="195"/>
      <c r="L137" s="27">
        <f t="shared" si="21"/>
        <v>400.21411936908515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2490595</v>
      </c>
      <c r="E138" s="1">
        <v>2506597</v>
      </c>
      <c r="F138" s="41">
        <f t="shared" si="17"/>
        <v>16.001999999999999</v>
      </c>
      <c r="G138" s="22">
        <f t="shared" si="18"/>
        <v>62.1503545741325</v>
      </c>
      <c r="H138" s="45">
        <f t="shared" si="19"/>
        <v>10.830848706624579</v>
      </c>
      <c r="I138" s="42">
        <f t="shared" si="20"/>
        <v>72.981203280757086</v>
      </c>
      <c r="J138" s="30">
        <f t="shared" si="22"/>
        <v>310</v>
      </c>
      <c r="K138" s="195"/>
      <c r="L138" s="27">
        <f t="shared" si="21"/>
        <v>382.98120328075709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3138239</v>
      </c>
      <c r="E139" s="1">
        <v>3152299</v>
      </c>
      <c r="F139" s="41">
        <f t="shared" si="17"/>
        <v>14.06</v>
      </c>
      <c r="G139" s="22">
        <f t="shared" si="18"/>
        <v>54.607798107255533</v>
      </c>
      <c r="H139" s="45">
        <f t="shared" si="19"/>
        <v>10.830848706624579</v>
      </c>
      <c r="I139" s="42">
        <f t="shared" si="20"/>
        <v>65.438646813880112</v>
      </c>
      <c r="J139" s="30">
        <f t="shared" si="22"/>
        <v>310</v>
      </c>
      <c r="K139" s="195"/>
      <c r="L139" s="27">
        <f t="shared" si="21"/>
        <v>375.4386468138801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3036979</v>
      </c>
      <c r="E140" s="1">
        <v>3043223</v>
      </c>
      <c r="F140" s="41">
        <f t="shared" si="17"/>
        <v>6.2439999999999998</v>
      </c>
      <c r="G140" s="22">
        <f t="shared" si="18"/>
        <v>24.25114447949527</v>
      </c>
      <c r="H140" s="45">
        <f t="shared" si="19"/>
        <v>10.830848706624579</v>
      </c>
      <c r="I140" s="42">
        <f t="shared" si="20"/>
        <v>35.081993186119846</v>
      </c>
      <c r="J140" s="30">
        <f t="shared" si="22"/>
        <v>310</v>
      </c>
      <c r="K140" s="195"/>
      <c r="L140" s="27">
        <f t="shared" si="21"/>
        <v>345.08199318611986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3015128</v>
      </c>
      <c r="E141" s="1">
        <v>3024850</v>
      </c>
      <c r="F141" s="41">
        <f t="shared" si="17"/>
        <v>9.7219999999999995</v>
      </c>
      <c r="G141" s="22">
        <f t="shared" si="18"/>
        <v>37.759389274447955</v>
      </c>
      <c r="H141" s="45">
        <f t="shared" si="19"/>
        <v>10.830848706624579</v>
      </c>
      <c r="I141" s="42">
        <f t="shared" si="20"/>
        <v>48.590237981072534</v>
      </c>
      <c r="J141" s="30">
        <f t="shared" si="22"/>
        <v>310</v>
      </c>
      <c r="K141" s="195"/>
      <c r="L141" s="27">
        <f>SUM(I141,J141,K141)</f>
        <v>358.59023798107251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3075438</v>
      </c>
      <c r="E142" s="1">
        <v>3081712</v>
      </c>
      <c r="F142" s="41">
        <f t="shared" si="17"/>
        <v>6.274</v>
      </c>
      <c r="G142" s="22">
        <f t="shared" si="18"/>
        <v>24.367661829652999</v>
      </c>
      <c r="H142" s="45">
        <f t="shared" si="19"/>
        <v>10.830848706624579</v>
      </c>
      <c r="I142" s="42">
        <f t="shared" si="20"/>
        <v>35.198510536277581</v>
      </c>
      <c r="J142" s="30">
        <f t="shared" si="22"/>
        <v>310</v>
      </c>
      <c r="K142" s="195"/>
      <c r="L142" s="27">
        <f t="shared" si="21"/>
        <v>345.19851053627758</v>
      </c>
    </row>
    <row r="143" spans="1:12" x14ac:dyDescent="0.45">
      <c r="A143" s="314"/>
      <c r="B143" s="5" t="s">
        <v>10</v>
      </c>
      <c r="C143" s="2">
        <v>101</v>
      </c>
      <c r="D143" s="1">
        <v>3739113</v>
      </c>
      <c r="E143" s="1">
        <v>3762361</v>
      </c>
      <c r="F143" s="41">
        <f t="shared" si="17"/>
        <v>23.248000000000001</v>
      </c>
      <c r="G143" s="22">
        <f t="shared" si="18"/>
        <v>90.293178548895909</v>
      </c>
      <c r="H143" s="45">
        <f t="shared" si="19"/>
        <v>10.830848706624579</v>
      </c>
      <c r="I143" s="42">
        <f t="shared" si="20"/>
        <v>101.12402725552049</v>
      </c>
      <c r="J143" s="30">
        <f t="shared" si="22"/>
        <v>310</v>
      </c>
      <c r="K143" s="195"/>
      <c r="L143" s="27">
        <f t="shared" si="21"/>
        <v>411.1240272555205</v>
      </c>
    </row>
    <row r="144" spans="1:12" x14ac:dyDescent="0.45">
      <c r="A144" s="314"/>
      <c r="B144" s="5" t="s">
        <v>10</v>
      </c>
      <c r="C144" s="2">
        <v>102</v>
      </c>
      <c r="D144" s="1">
        <v>11555</v>
      </c>
      <c r="E144" s="1">
        <v>13983</v>
      </c>
      <c r="F144" s="41">
        <f t="shared" si="17"/>
        <v>2.4279999999999999</v>
      </c>
      <c r="G144" s="22">
        <f t="shared" si="18"/>
        <v>9.4301375394321774</v>
      </c>
      <c r="H144" s="45">
        <f t="shared" si="19"/>
        <v>10.830848706624579</v>
      </c>
      <c r="I144" s="42">
        <f t="shared" si="20"/>
        <v>20.260986246056756</v>
      </c>
      <c r="J144" s="30">
        <f t="shared" si="22"/>
        <v>310</v>
      </c>
      <c r="K144" s="195"/>
      <c r="L144" s="27">
        <f t="shared" si="21"/>
        <v>330.26098624605675</v>
      </c>
    </row>
    <row r="145" spans="1:12" x14ac:dyDescent="0.45">
      <c r="A145" s="314"/>
      <c r="B145" s="5" t="s">
        <v>10</v>
      </c>
      <c r="C145" s="2">
        <v>103</v>
      </c>
      <c r="D145" s="1">
        <v>3976301</v>
      </c>
      <c r="E145" s="1">
        <v>3982529</v>
      </c>
      <c r="F145" s="41">
        <f t="shared" si="17"/>
        <v>6.2279999999999998</v>
      </c>
      <c r="G145" s="22">
        <f t="shared" si="18"/>
        <v>24.189001892744482</v>
      </c>
      <c r="H145" s="45">
        <f t="shared" si="19"/>
        <v>10.830848706624579</v>
      </c>
      <c r="I145" s="42">
        <f t="shared" si="20"/>
        <v>35.019850599369065</v>
      </c>
      <c r="J145" s="30">
        <f t="shared" si="22"/>
        <v>310</v>
      </c>
      <c r="K145" s="195"/>
      <c r="L145" s="27">
        <f t="shared" si="21"/>
        <v>345.01985059936908</v>
      </c>
    </row>
    <row r="146" spans="1:12" x14ac:dyDescent="0.45">
      <c r="A146" s="314"/>
      <c r="B146" s="5" t="s">
        <v>10</v>
      </c>
      <c r="C146" s="2">
        <v>104</v>
      </c>
      <c r="D146" s="1">
        <v>2998122</v>
      </c>
      <c r="E146" s="1">
        <v>3022932</v>
      </c>
      <c r="F146" s="41">
        <f t="shared" si="17"/>
        <v>24.810000000000002</v>
      </c>
      <c r="G146" s="22">
        <f t="shared" si="18"/>
        <v>96.359848580441664</v>
      </c>
      <c r="H146" s="45">
        <f t="shared" si="19"/>
        <v>10.830848706624579</v>
      </c>
      <c r="I146" s="42">
        <f t="shared" si="20"/>
        <v>107.19069728706624</v>
      </c>
      <c r="J146" s="30">
        <f t="shared" si="22"/>
        <v>310</v>
      </c>
      <c r="K146" s="195"/>
      <c r="L146" s="27">
        <f t="shared" si="21"/>
        <v>417.19069728706626</v>
      </c>
    </row>
    <row r="147" spans="1:12" x14ac:dyDescent="0.45">
      <c r="A147" s="314"/>
      <c r="B147" s="5" t="s">
        <v>10</v>
      </c>
      <c r="C147" s="2">
        <v>201</v>
      </c>
      <c r="D147" s="1">
        <v>5439698</v>
      </c>
      <c r="E147" s="1">
        <v>5480759</v>
      </c>
      <c r="F147" s="41">
        <f t="shared" si="17"/>
        <v>41.061</v>
      </c>
      <c r="G147" s="22">
        <f t="shared" si="18"/>
        <v>159.4772971608833</v>
      </c>
      <c r="H147" s="45">
        <f t="shared" si="19"/>
        <v>10.830848706624579</v>
      </c>
      <c r="I147" s="42">
        <f t="shared" si="20"/>
        <v>170.30814586750787</v>
      </c>
      <c r="J147" s="30">
        <f t="shared" si="22"/>
        <v>310</v>
      </c>
      <c r="K147" s="195"/>
      <c r="L147" s="27">
        <f t="shared" si="21"/>
        <v>480.30814586750785</v>
      </c>
    </row>
    <row r="148" spans="1:12" x14ac:dyDescent="0.45">
      <c r="A148" s="314"/>
      <c r="B148" s="5" t="s">
        <v>10</v>
      </c>
      <c r="C148" s="2">
        <v>202</v>
      </c>
      <c r="D148" s="1">
        <v>3434305</v>
      </c>
      <c r="E148" s="1">
        <v>3443567</v>
      </c>
      <c r="F148" s="41">
        <f t="shared" si="17"/>
        <v>9.2620000000000005</v>
      </c>
      <c r="G148" s="22">
        <f t="shared" si="18"/>
        <v>35.972789905362781</v>
      </c>
      <c r="H148" s="45">
        <f t="shared" si="19"/>
        <v>10.830848706624579</v>
      </c>
      <c r="I148" s="42">
        <f t="shared" si="20"/>
        <v>46.80363861198736</v>
      </c>
      <c r="J148" s="30">
        <f t="shared" si="22"/>
        <v>310</v>
      </c>
      <c r="K148" s="195">
        <v>10</v>
      </c>
      <c r="L148" s="27">
        <f t="shared" si="21"/>
        <v>366.80363861198737</v>
      </c>
    </row>
    <row r="149" spans="1:12" x14ac:dyDescent="0.45">
      <c r="A149" s="314"/>
      <c r="B149" s="5" t="s">
        <v>10</v>
      </c>
      <c r="C149" s="2">
        <v>203</v>
      </c>
      <c r="D149" s="1">
        <v>3469767</v>
      </c>
      <c r="E149" s="1">
        <v>3485624</v>
      </c>
      <c r="F149" s="41">
        <f t="shared" si="17"/>
        <v>15.857000000000001</v>
      </c>
      <c r="G149" s="22">
        <f t="shared" si="18"/>
        <v>61.58718738170348</v>
      </c>
      <c r="H149" s="45">
        <f t="shared" si="19"/>
        <v>10.830848706624579</v>
      </c>
      <c r="I149" s="42">
        <f t="shared" si="20"/>
        <v>72.418036088328051</v>
      </c>
      <c r="J149" s="30">
        <f t="shared" si="22"/>
        <v>310</v>
      </c>
      <c r="K149" s="195"/>
      <c r="L149" s="27">
        <f t="shared" si="21"/>
        <v>382.41803608832805</v>
      </c>
    </row>
    <row r="150" spans="1:12" x14ac:dyDescent="0.45">
      <c r="A150" s="314"/>
      <c r="B150" s="5" t="s">
        <v>10</v>
      </c>
      <c r="C150" s="2">
        <v>204</v>
      </c>
      <c r="D150" s="1">
        <v>1920840</v>
      </c>
      <c r="E150" s="1">
        <v>1920983</v>
      </c>
      <c r="F150" s="41">
        <f t="shared" si="17"/>
        <v>0.14300000000000002</v>
      </c>
      <c r="G150" s="22">
        <f t="shared" si="18"/>
        <v>0.55539936908517362</v>
      </c>
      <c r="H150" s="45">
        <f t="shared" si="19"/>
        <v>10.830848706624579</v>
      </c>
      <c r="I150" s="42">
        <f t="shared" si="20"/>
        <v>11.386248075709753</v>
      </c>
      <c r="J150" s="30">
        <f>SUM($J$3)</f>
        <v>310</v>
      </c>
      <c r="K150" s="195"/>
      <c r="L150" s="27">
        <f t="shared" si="21"/>
        <v>321.38624807570977</v>
      </c>
    </row>
    <row r="151" spans="1:12" x14ac:dyDescent="0.45">
      <c r="A151" s="314"/>
      <c r="B151" s="5" t="s">
        <v>10</v>
      </c>
      <c r="C151" s="2">
        <v>301</v>
      </c>
      <c r="D151" s="1">
        <v>2381003</v>
      </c>
      <c r="E151" s="1">
        <v>2392075</v>
      </c>
      <c r="F151" s="41">
        <f t="shared" si="17"/>
        <v>11.072000000000001</v>
      </c>
      <c r="G151" s="22">
        <f t="shared" si="18"/>
        <v>43.002670031545748</v>
      </c>
      <c r="H151" s="45">
        <f t="shared" si="19"/>
        <v>10.830848706624579</v>
      </c>
      <c r="I151" s="42">
        <f t="shared" si="20"/>
        <v>53.833518738170326</v>
      </c>
      <c r="J151" s="30">
        <f>SUM($J$3)</f>
        <v>310</v>
      </c>
      <c r="K151" s="195"/>
      <c r="L151" s="27">
        <f t="shared" si="21"/>
        <v>363.83351873817031</v>
      </c>
    </row>
    <row r="152" spans="1:12" x14ac:dyDescent="0.45">
      <c r="A152" s="314"/>
      <c r="B152" s="5" t="s">
        <v>10</v>
      </c>
      <c r="C152" s="2">
        <v>302</v>
      </c>
      <c r="D152" s="1">
        <v>4252003</v>
      </c>
      <c r="E152" s="1">
        <v>4270190</v>
      </c>
      <c r="F152" s="41">
        <f t="shared" si="17"/>
        <v>18.187000000000001</v>
      </c>
      <c r="G152" s="22">
        <f t="shared" si="18"/>
        <v>70.636701577287084</v>
      </c>
      <c r="H152" s="45">
        <f t="shared" si="19"/>
        <v>10.830848706624579</v>
      </c>
      <c r="I152" s="42">
        <f t="shared" si="20"/>
        <v>81.467550283911663</v>
      </c>
      <c r="J152" s="30">
        <f t="shared" si="22"/>
        <v>310</v>
      </c>
      <c r="K152" s="195"/>
      <c r="L152" s="27">
        <f t="shared" si="21"/>
        <v>391.46755028391169</v>
      </c>
    </row>
    <row r="153" spans="1:12" x14ac:dyDescent="0.45">
      <c r="A153" s="314"/>
      <c r="B153" s="5" t="s">
        <v>10</v>
      </c>
      <c r="C153" s="2">
        <v>303</v>
      </c>
      <c r="D153" s="1">
        <v>2659225</v>
      </c>
      <c r="E153" s="1">
        <v>2670593</v>
      </c>
      <c r="F153" s="41">
        <f t="shared" si="17"/>
        <v>11.368</v>
      </c>
      <c r="G153" s="22">
        <f t="shared" si="18"/>
        <v>44.152307886435338</v>
      </c>
      <c r="H153" s="45">
        <f t="shared" si="19"/>
        <v>10.830848706624579</v>
      </c>
      <c r="I153" s="42">
        <f t="shared" si="20"/>
        <v>54.983156593059917</v>
      </c>
      <c r="J153" s="30">
        <f t="shared" si="22"/>
        <v>310</v>
      </c>
      <c r="K153" s="195"/>
      <c r="L153" s="27">
        <f>SUM(I153,J153,K153)</f>
        <v>364.9831565930599</v>
      </c>
    </row>
    <row r="154" spans="1:12" x14ac:dyDescent="0.45">
      <c r="A154" s="314"/>
      <c r="B154" s="5" t="s">
        <v>10</v>
      </c>
      <c r="C154" s="2">
        <v>304</v>
      </c>
      <c r="D154" s="1">
        <v>56132</v>
      </c>
      <c r="E154" s="1">
        <v>76016</v>
      </c>
      <c r="F154" s="41">
        <f t="shared" si="17"/>
        <v>19.884</v>
      </c>
      <c r="G154" s="22">
        <f t="shared" si="18"/>
        <v>77.2276996845426</v>
      </c>
      <c r="H154" s="45">
        <f t="shared" si="19"/>
        <v>10.830848706624579</v>
      </c>
      <c r="I154" s="42">
        <f t="shared" si="20"/>
        <v>88.058548391167179</v>
      </c>
      <c r="J154" s="30">
        <f t="shared" si="22"/>
        <v>310</v>
      </c>
      <c r="K154" s="195">
        <v>300</v>
      </c>
      <c r="L154" s="27">
        <f t="shared" si="21"/>
        <v>698.05854839116716</v>
      </c>
    </row>
    <row r="155" spans="1:12" x14ac:dyDescent="0.45">
      <c r="A155" s="314"/>
      <c r="B155" s="5" t="s">
        <v>10</v>
      </c>
      <c r="C155" s="2">
        <v>401</v>
      </c>
      <c r="D155" s="1">
        <v>5013890</v>
      </c>
      <c r="E155" s="1">
        <v>5046877</v>
      </c>
      <c r="F155" s="41">
        <f t="shared" si="17"/>
        <v>32.987000000000002</v>
      </c>
      <c r="G155" s="22">
        <f t="shared" si="18"/>
        <v>128.11859432176658</v>
      </c>
      <c r="H155" s="45">
        <f t="shared" si="19"/>
        <v>10.830848706624579</v>
      </c>
      <c r="I155" s="42">
        <f t="shared" si="20"/>
        <v>138.94944302839116</v>
      </c>
      <c r="J155" s="30">
        <f t="shared" si="22"/>
        <v>310</v>
      </c>
      <c r="K155" s="195">
        <v>10</v>
      </c>
      <c r="L155" s="27">
        <f t="shared" si="21"/>
        <v>458.94944302839116</v>
      </c>
    </row>
    <row r="156" spans="1:12" x14ac:dyDescent="0.45">
      <c r="A156" s="314"/>
      <c r="B156" s="5" t="s">
        <v>10</v>
      </c>
      <c r="C156" s="2">
        <v>402</v>
      </c>
      <c r="D156" s="1">
        <v>3801005</v>
      </c>
      <c r="E156" s="1">
        <v>3818192</v>
      </c>
      <c r="F156" s="41">
        <f t="shared" si="17"/>
        <v>17.187000000000001</v>
      </c>
      <c r="G156" s="22">
        <f t="shared" si="18"/>
        <v>66.752789905362789</v>
      </c>
      <c r="H156" s="45">
        <f t="shared" si="19"/>
        <v>10.830848706624579</v>
      </c>
      <c r="I156" s="42">
        <f t="shared" si="20"/>
        <v>77.583638611987368</v>
      </c>
      <c r="J156" s="30">
        <f t="shared" si="22"/>
        <v>310</v>
      </c>
      <c r="K156" s="195"/>
      <c r="L156" s="27">
        <f t="shared" si="21"/>
        <v>387.58363861198734</v>
      </c>
    </row>
    <row r="157" spans="1:12" x14ac:dyDescent="0.45">
      <c r="A157" s="314"/>
      <c r="B157" s="5" t="s">
        <v>10</v>
      </c>
      <c r="C157" s="2">
        <v>403</v>
      </c>
      <c r="D157" s="1">
        <v>104404</v>
      </c>
      <c r="E157" s="1">
        <v>126442</v>
      </c>
      <c r="F157" s="41">
        <f t="shared" si="17"/>
        <v>22.038</v>
      </c>
      <c r="G157" s="22">
        <f t="shared" si="18"/>
        <v>85.593645425867521</v>
      </c>
      <c r="H157" s="45">
        <f t="shared" si="19"/>
        <v>10.830848706624579</v>
      </c>
      <c r="I157" s="42">
        <f t="shared" si="20"/>
        <v>96.4244941324921</v>
      </c>
      <c r="J157" s="30">
        <f t="shared" si="22"/>
        <v>310</v>
      </c>
      <c r="K157" s="195"/>
      <c r="L157" s="27">
        <f t="shared" si="21"/>
        <v>406.4244941324921</v>
      </c>
    </row>
    <row r="158" spans="1:12" x14ac:dyDescent="0.45">
      <c r="A158" s="314"/>
      <c r="B158" s="5" t="s">
        <v>10</v>
      </c>
      <c r="C158" s="2">
        <v>404</v>
      </c>
      <c r="D158" s="1">
        <v>134116</v>
      </c>
      <c r="E158" s="1">
        <v>149155</v>
      </c>
      <c r="F158" s="41">
        <f>(E158-D158)*$N$1</f>
        <v>15.039</v>
      </c>
      <c r="G158" s="22">
        <f t="shared" si="18"/>
        <v>58.410147634069411</v>
      </c>
      <c r="H158" s="45">
        <f t="shared" si="19"/>
        <v>10.830848706624579</v>
      </c>
      <c r="I158" s="42">
        <f t="shared" si="20"/>
        <v>69.240996340693982</v>
      </c>
      <c r="J158" s="30">
        <f t="shared" si="22"/>
        <v>310</v>
      </c>
      <c r="K158" s="195"/>
      <c r="L158" s="27">
        <f>SUM(I158,J158,K158)</f>
        <v>379.24099634069398</v>
      </c>
    </row>
    <row r="159" spans="1:12" x14ac:dyDescent="0.45">
      <c r="A159" s="314"/>
      <c r="B159" s="5" t="s">
        <v>10</v>
      </c>
      <c r="C159" s="2">
        <v>501</v>
      </c>
      <c r="D159" s="1">
        <v>235212</v>
      </c>
      <c r="E159" s="1">
        <v>248239</v>
      </c>
      <c r="F159" s="41">
        <f t="shared" si="17"/>
        <v>13.027000000000001</v>
      </c>
      <c r="G159" s="22">
        <f t="shared" si="18"/>
        <v>50.595717350157742</v>
      </c>
      <c r="H159" s="45">
        <f t="shared" si="19"/>
        <v>10.830848706624579</v>
      </c>
      <c r="I159" s="42">
        <f t="shared" si="20"/>
        <v>61.42656605678232</v>
      </c>
      <c r="J159" s="30">
        <f t="shared" si="22"/>
        <v>310</v>
      </c>
      <c r="K159" s="195"/>
      <c r="L159" s="27">
        <f>SUM(I159,J159,K159)</f>
        <v>371.42656605678235</v>
      </c>
    </row>
    <row r="160" spans="1:12" x14ac:dyDescent="0.45">
      <c r="A160" s="314"/>
      <c r="B160" s="5" t="s">
        <v>10</v>
      </c>
      <c r="C160" s="2">
        <v>502</v>
      </c>
      <c r="D160" s="1">
        <v>2800667</v>
      </c>
      <c r="E160" s="1">
        <v>2818415</v>
      </c>
      <c r="F160" s="41">
        <f t="shared" si="17"/>
        <v>17.748000000000001</v>
      </c>
      <c r="G160" s="22">
        <f t="shared" si="18"/>
        <v>68.931664353312314</v>
      </c>
      <c r="H160" s="45">
        <f t="shared" si="19"/>
        <v>10.830848706624579</v>
      </c>
      <c r="I160" s="42">
        <f t="shared" si="20"/>
        <v>79.762513059936893</v>
      </c>
      <c r="J160" s="30">
        <f t="shared" si="22"/>
        <v>310</v>
      </c>
      <c r="K160" s="195"/>
      <c r="L160" s="27">
        <f t="shared" si="21"/>
        <v>389.76251305993691</v>
      </c>
    </row>
    <row r="161" spans="1:12" x14ac:dyDescent="0.45">
      <c r="A161" s="314"/>
      <c r="B161" s="5" t="s">
        <v>10</v>
      </c>
      <c r="C161" s="2">
        <v>503</v>
      </c>
      <c r="D161" s="1">
        <v>3789452</v>
      </c>
      <c r="E161" s="1">
        <v>3803204</v>
      </c>
      <c r="F161" s="41">
        <f t="shared" si="17"/>
        <v>13.752000000000001</v>
      </c>
      <c r="G161" s="22">
        <f t="shared" si="18"/>
        <v>53.41155331230285</v>
      </c>
      <c r="H161" s="45">
        <f t="shared" si="19"/>
        <v>10.830848706624579</v>
      </c>
      <c r="I161" s="42">
        <f t="shared" si="20"/>
        <v>64.242402018927436</v>
      </c>
      <c r="J161" s="30">
        <f t="shared" si="22"/>
        <v>310</v>
      </c>
      <c r="K161" s="195"/>
      <c r="L161" s="27">
        <f t="shared" si="21"/>
        <v>374.24240201892746</v>
      </c>
    </row>
    <row r="162" spans="1:12" x14ac:dyDescent="0.45">
      <c r="A162" s="314"/>
      <c r="B162" s="5" t="s">
        <v>10</v>
      </c>
      <c r="C162" s="2">
        <v>504</v>
      </c>
      <c r="D162" s="1">
        <v>3610160</v>
      </c>
      <c r="E162" s="1">
        <v>3610159</v>
      </c>
      <c r="F162" s="41">
        <f t="shared" si="17"/>
        <v>-1E-3</v>
      </c>
      <c r="G162" s="22">
        <f t="shared" si="18"/>
        <v>-3.8839116719242908E-3</v>
      </c>
      <c r="H162" s="45">
        <f t="shared" si="19"/>
        <v>10.830848706624579</v>
      </c>
      <c r="I162" s="42">
        <f t="shared" si="20"/>
        <v>10.826964794952655</v>
      </c>
      <c r="J162" s="30">
        <f t="shared" si="22"/>
        <v>310</v>
      </c>
      <c r="K162" s="195">
        <v>10</v>
      </c>
      <c r="L162" s="27">
        <f t="shared" si="21"/>
        <v>330.82696479495263</v>
      </c>
    </row>
    <row r="163" spans="1:12" x14ac:dyDescent="0.45">
      <c r="A163" s="318"/>
      <c r="B163" s="5" t="s">
        <v>11</v>
      </c>
      <c r="C163" s="2">
        <v>101</v>
      </c>
      <c r="D163" s="1">
        <v>3070307</v>
      </c>
      <c r="E163" s="1">
        <v>3085400</v>
      </c>
      <c r="F163" s="41">
        <f t="shared" si="17"/>
        <v>15.093</v>
      </c>
      <c r="G163" s="22">
        <f t="shared" si="18"/>
        <v>58.619878864353318</v>
      </c>
      <c r="H163" s="45">
        <f t="shared" si="19"/>
        <v>10.830848706624579</v>
      </c>
      <c r="I163" s="42">
        <f t="shared" si="20"/>
        <v>69.450727570977904</v>
      </c>
      <c r="J163" s="30">
        <f t="shared" si="22"/>
        <v>310</v>
      </c>
      <c r="K163" s="195"/>
      <c r="L163" s="27">
        <f t="shared" si="21"/>
        <v>379.4507275709779</v>
      </c>
    </row>
    <row r="164" spans="1:12" x14ac:dyDescent="0.45">
      <c r="A164" s="318"/>
      <c r="B164" s="5" t="s">
        <v>11</v>
      </c>
      <c r="C164" s="2">
        <v>102</v>
      </c>
      <c r="D164" s="1">
        <v>2821470</v>
      </c>
      <c r="E164" s="1">
        <v>2847805</v>
      </c>
      <c r="F164" s="41">
        <f t="shared" si="17"/>
        <v>26.335000000000001</v>
      </c>
      <c r="G164" s="22">
        <f t="shared" si="18"/>
        <v>102.2828138801262</v>
      </c>
      <c r="H164" s="45">
        <f t="shared" si="19"/>
        <v>10.830848706624579</v>
      </c>
      <c r="I164" s="42">
        <f t="shared" si="20"/>
        <v>113.11366258675078</v>
      </c>
      <c r="J164" s="30">
        <f t="shared" si="22"/>
        <v>310</v>
      </c>
      <c r="K164" s="195">
        <v>10</v>
      </c>
      <c r="L164" s="27">
        <f t="shared" si="21"/>
        <v>433.11366258675076</v>
      </c>
    </row>
    <row r="165" spans="1:12" x14ac:dyDescent="0.45">
      <c r="A165" s="318"/>
      <c r="B165" s="5" t="s">
        <v>11</v>
      </c>
      <c r="C165" s="2">
        <v>103</v>
      </c>
      <c r="D165" s="1">
        <v>2394415</v>
      </c>
      <c r="E165" s="1">
        <v>2404906</v>
      </c>
      <c r="F165" s="41">
        <f t="shared" si="17"/>
        <v>10.491</v>
      </c>
      <c r="G165" s="22">
        <f t="shared" si="18"/>
        <v>40.746117350157732</v>
      </c>
      <c r="H165" s="45">
        <f t="shared" si="19"/>
        <v>10.830848706624579</v>
      </c>
      <c r="I165" s="42">
        <f t="shared" si="20"/>
        <v>51.576966056782311</v>
      </c>
      <c r="J165" s="30">
        <f t="shared" si="22"/>
        <v>310</v>
      </c>
      <c r="K165" s="195"/>
      <c r="L165" s="27">
        <f t="shared" si="21"/>
        <v>361.57696605678234</v>
      </c>
    </row>
    <row r="166" spans="1:12" x14ac:dyDescent="0.45">
      <c r="A166" s="318"/>
      <c r="B166" s="5" t="s">
        <v>11</v>
      </c>
      <c r="C166" s="2">
        <v>104</v>
      </c>
      <c r="D166" s="1">
        <v>2900830</v>
      </c>
      <c r="E166" s="1">
        <v>2925888</v>
      </c>
      <c r="F166" s="41">
        <f t="shared" si="17"/>
        <v>25.058</v>
      </c>
      <c r="G166" s="22">
        <f t="shared" si="18"/>
        <v>97.323058675078883</v>
      </c>
      <c r="H166" s="45">
        <f t="shared" si="19"/>
        <v>10.830848706624579</v>
      </c>
      <c r="I166" s="42">
        <f t="shared" si="20"/>
        <v>108.15390738170346</v>
      </c>
      <c r="J166" s="30">
        <f t="shared" si="22"/>
        <v>310</v>
      </c>
      <c r="K166" s="195">
        <v>10</v>
      </c>
      <c r="L166" s="27">
        <f t="shared" si="21"/>
        <v>428.15390738170345</v>
      </c>
    </row>
    <row r="167" spans="1:12" x14ac:dyDescent="0.45">
      <c r="A167" s="318"/>
      <c r="B167" s="5" t="s">
        <v>11</v>
      </c>
      <c r="C167" s="2">
        <v>201</v>
      </c>
      <c r="D167" s="1">
        <v>2149100</v>
      </c>
      <c r="E167" s="1">
        <v>2169319</v>
      </c>
      <c r="F167" s="41">
        <f t="shared" si="17"/>
        <v>20.219000000000001</v>
      </c>
      <c r="G167" s="22">
        <f t="shared" si="18"/>
        <v>78.528810094637237</v>
      </c>
      <c r="H167" s="45">
        <f t="shared" si="19"/>
        <v>10.830848706624579</v>
      </c>
      <c r="I167" s="42">
        <f t="shared" si="20"/>
        <v>89.359658801261816</v>
      </c>
      <c r="J167" s="30">
        <f t="shared" si="22"/>
        <v>310</v>
      </c>
      <c r="K167" s="195"/>
      <c r="L167" s="27">
        <f t="shared" si="21"/>
        <v>399.35965880126184</v>
      </c>
    </row>
    <row r="168" spans="1:12" x14ac:dyDescent="0.45">
      <c r="A168" s="318"/>
      <c r="B168" s="5" t="s">
        <v>11</v>
      </c>
      <c r="C168" s="2">
        <v>202</v>
      </c>
      <c r="D168" s="1">
        <v>190768</v>
      </c>
      <c r="E168" s="1">
        <v>219496</v>
      </c>
      <c r="F168" s="41">
        <f t="shared" si="17"/>
        <v>28.728000000000002</v>
      </c>
      <c r="G168" s="22">
        <f t="shared" si="18"/>
        <v>111.57701451104103</v>
      </c>
      <c r="H168" s="45">
        <f t="shared" si="19"/>
        <v>10.830848706624579</v>
      </c>
      <c r="I168" s="42">
        <f t="shared" si="20"/>
        <v>122.40786321766561</v>
      </c>
      <c r="J168" s="30">
        <f t="shared" si="22"/>
        <v>310</v>
      </c>
      <c r="K168" s="195">
        <v>10</v>
      </c>
      <c r="L168" s="27">
        <f t="shared" si="21"/>
        <v>442.40786321766564</v>
      </c>
    </row>
    <row r="169" spans="1:12" x14ac:dyDescent="0.45">
      <c r="A169" s="318"/>
      <c r="B169" s="5" t="s">
        <v>11</v>
      </c>
      <c r="C169" s="2">
        <v>203</v>
      </c>
      <c r="D169" s="1">
        <v>2776056</v>
      </c>
      <c r="E169" s="1">
        <v>2797771</v>
      </c>
      <c r="F169" s="41">
        <f t="shared" si="17"/>
        <v>21.715</v>
      </c>
      <c r="G169" s="22">
        <f t="shared" si="18"/>
        <v>84.33914195583597</v>
      </c>
      <c r="H169" s="45">
        <f t="shared" si="19"/>
        <v>10.830848706624579</v>
      </c>
      <c r="I169" s="42">
        <f t="shared" si="20"/>
        <v>95.169990662460549</v>
      </c>
      <c r="J169" s="30">
        <f t="shared" si="22"/>
        <v>310</v>
      </c>
      <c r="K169" s="195">
        <v>10</v>
      </c>
      <c r="L169" s="27">
        <f t="shared" si="21"/>
        <v>415.16999066246058</v>
      </c>
    </row>
    <row r="170" spans="1:12" x14ac:dyDescent="0.45">
      <c r="A170" s="318"/>
      <c r="B170" s="5" t="s">
        <v>11</v>
      </c>
      <c r="C170" s="2">
        <v>204</v>
      </c>
      <c r="D170" s="1">
        <v>2385939</v>
      </c>
      <c r="E170" s="1">
        <v>2400446</v>
      </c>
      <c r="F170" s="41">
        <f t="shared" si="17"/>
        <v>14.507</v>
      </c>
      <c r="G170" s="22">
        <f t="shared" si="18"/>
        <v>56.343906624605687</v>
      </c>
      <c r="H170" s="45">
        <f t="shared" si="19"/>
        <v>10.830848706624579</v>
      </c>
      <c r="I170" s="42">
        <f t="shared" si="20"/>
        <v>67.174755331230273</v>
      </c>
      <c r="J170" s="30">
        <f t="shared" si="22"/>
        <v>310</v>
      </c>
      <c r="K170" s="195"/>
      <c r="L170" s="27">
        <f t="shared" si="21"/>
        <v>377.17475533123024</v>
      </c>
    </row>
    <row r="171" spans="1:12" x14ac:dyDescent="0.45">
      <c r="A171" s="318"/>
      <c r="B171" s="5" t="s">
        <v>11</v>
      </c>
      <c r="C171" s="2">
        <v>301</v>
      </c>
      <c r="D171" s="1">
        <v>3412600</v>
      </c>
      <c r="E171" s="1">
        <v>3427859</v>
      </c>
      <c r="F171" s="41">
        <f t="shared" si="17"/>
        <v>15.259</v>
      </c>
      <c r="G171" s="22">
        <f t="shared" si="18"/>
        <v>59.264608201892756</v>
      </c>
      <c r="H171" s="45">
        <f t="shared" si="19"/>
        <v>10.830848706624579</v>
      </c>
      <c r="I171" s="42">
        <f t="shared" si="20"/>
        <v>70.095456908517335</v>
      </c>
      <c r="J171" s="30">
        <f t="shared" si="22"/>
        <v>310</v>
      </c>
      <c r="K171" s="195"/>
      <c r="L171" s="27">
        <f t="shared" si="21"/>
        <v>380.09545690851735</v>
      </c>
    </row>
    <row r="172" spans="1:12" x14ac:dyDescent="0.45">
      <c r="A172" s="318"/>
      <c r="B172" s="5" t="s">
        <v>11</v>
      </c>
      <c r="C172" s="2">
        <v>302</v>
      </c>
      <c r="D172" s="1">
        <v>2721814</v>
      </c>
      <c r="E172" s="1">
        <v>2733638</v>
      </c>
      <c r="F172" s="41">
        <f t="shared" si="17"/>
        <v>11.824</v>
      </c>
      <c r="G172" s="22">
        <f t="shared" si="18"/>
        <v>45.923371608832817</v>
      </c>
      <c r="H172" s="45">
        <f t="shared" si="19"/>
        <v>10.830848706624579</v>
      </c>
      <c r="I172" s="42">
        <f t="shared" si="20"/>
        <v>56.754220315457395</v>
      </c>
      <c r="J172" s="30">
        <f t="shared" si="22"/>
        <v>310</v>
      </c>
      <c r="K172" s="195">
        <v>10</v>
      </c>
      <c r="L172" s="27">
        <f t="shared" si="21"/>
        <v>376.75422031545742</v>
      </c>
    </row>
    <row r="173" spans="1:12" x14ac:dyDescent="0.45">
      <c r="A173" s="318"/>
      <c r="B173" s="5" t="s">
        <v>11</v>
      </c>
      <c r="C173" s="2">
        <v>303</v>
      </c>
      <c r="D173" s="1">
        <v>2514464</v>
      </c>
      <c r="E173" s="1">
        <v>2530603</v>
      </c>
      <c r="F173" s="41">
        <f t="shared" si="17"/>
        <v>16.138999999999999</v>
      </c>
      <c r="G173" s="22">
        <f t="shared" si="18"/>
        <v>62.68245047318613</v>
      </c>
      <c r="H173" s="45">
        <f t="shared" si="19"/>
        <v>10.830848706624579</v>
      </c>
      <c r="I173" s="42">
        <f t="shared" si="20"/>
        <v>73.513299179810701</v>
      </c>
      <c r="J173" s="30">
        <f t="shared" si="22"/>
        <v>310</v>
      </c>
      <c r="K173" s="195"/>
      <c r="L173" s="27">
        <f t="shared" si="21"/>
        <v>383.5132991798107</v>
      </c>
    </row>
    <row r="174" spans="1:12" x14ac:dyDescent="0.45">
      <c r="A174" s="318"/>
      <c r="B174" s="5" t="s">
        <v>11</v>
      </c>
      <c r="C174" s="2">
        <v>304</v>
      </c>
      <c r="D174" s="1">
        <v>5408101</v>
      </c>
      <c r="E174" s="1">
        <v>5408879</v>
      </c>
      <c r="F174" s="41">
        <f t="shared" si="17"/>
        <v>0.77800000000000002</v>
      </c>
      <c r="G174" s="22">
        <f t="shared" si="18"/>
        <v>3.0216832807570984</v>
      </c>
      <c r="H174" s="45">
        <f t="shared" si="19"/>
        <v>10.830848706624579</v>
      </c>
      <c r="I174" s="42">
        <f t="shared" si="20"/>
        <v>13.852531987381678</v>
      </c>
      <c r="J174" s="30">
        <f t="shared" si="22"/>
        <v>310</v>
      </c>
      <c r="K174" s="195">
        <v>10</v>
      </c>
      <c r="L174" s="27">
        <f t="shared" si="21"/>
        <v>333.85253198738167</v>
      </c>
    </row>
    <row r="175" spans="1:12" x14ac:dyDescent="0.45">
      <c r="A175" s="318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10.830848706624579</v>
      </c>
      <c r="I175" s="42">
        <f t="shared" si="20"/>
        <v>10.830848706624579</v>
      </c>
      <c r="J175" s="30">
        <f t="shared" si="22"/>
        <v>310</v>
      </c>
      <c r="K175" s="195"/>
      <c r="L175" s="27">
        <f t="shared" si="21"/>
        <v>320.83084870662458</v>
      </c>
    </row>
    <row r="176" spans="1:12" x14ac:dyDescent="0.45">
      <c r="A176" s="318"/>
      <c r="B176" s="5" t="s">
        <v>11</v>
      </c>
      <c r="C176" s="2">
        <v>402</v>
      </c>
      <c r="D176" s="1">
        <v>2022590</v>
      </c>
      <c r="E176" s="1">
        <v>2032175</v>
      </c>
      <c r="F176" s="41">
        <f t="shared" si="17"/>
        <v>9.5850000000000009</v>
      </c>
      <c r="G176" s="22">
        <f t="shared" si="18"/>
        <v>37.227293375394332</v>
      </c>
      <c r="H176" s="45">
        <f t="shared" si="19"/>
        <v>10.830848706624579</v>
      </c>
      <c r="I176" s="42">
        <f t="shared" si="20"/>
        <v>48.058142082018911</v>
      </c>
      <c r="J176" s="30">
        <f t="shared" si="22"/>
        <v>310</v>
      </c>
      <c r="K176" s="195"/>
      <c r="L176" s="27">
        <f t="shared" si="21"/>
        <v>358.05814208201889</v>
      </c>
    </row>
    <row r="177" spans="1:12" x14ac:dyDescent="0.45">
      <c r="A177" s="318"/>
      <c r="B177" s="5" t="s">
        <v>11</v>
      </c>
      <c r="C177" s="2">
        <v>403</v>
      </c>
      <c r="D177" s="1">
        <v>3269671</v>
      </c>
      <c r="E177" s="1">
        <v>3282926</v>
      </c>
      <c r="F177" s="41">
        <f t="shared" si="17"/>
        <v>13.255000000000001</v>
      </c>
      <c r="G177" s="22">
        <f t="shared" si="18"/>
        <v>51.481249211356477</v>
      </c>
      <c r="H177" s="45">
        <f t="shared" si="19"/>
        <v>10.830848706624579</v>
      </c>
      <c r="I177" s="42">
        <f t="shared" si="20"/>
        <v>62.312097917981056</v>
      </c>
      <c r="J177" s="30">
        <f t="shared" si="22"/>
        <v>310</v>
      </c>
      <c r="K177" s="195"/>
      <c r="L177" s="27">
        <f t="shared" si="21"/>
        <v>372.31209791798108</v>
      </c>
    </row>
    <row r="178" spans="1:12" x14ac:dyDescent="0.45">
      <c r="A178" s="318"/>
      <c r="B178" s="5" t="s">
        <v>11</v>
      </c>
      <c r="C178" s="2">
        <v>404</v>
      </c>
      <c r="D178" s="1">
        <v>43017</v>
      </c>
      <c r="E178" s="1">
        <v>64716</v>
      </c>
      <c r="F178" s="41">
        <f t="shared" si="17"/>
        <v>21.699000000000002</v>
      </c>
      <c r="G178" s="22">
        <f t="shared" si="18"/>
        <v>84.276999369085189</v>
      </c>
      <c r="H178" s="45">
        <f t="shared" si="19"/>
        <v>10.830848706624579</v>
      </c>
      <c r="I178" s="42">
        <f t="shared" si="20"/>
        <v>95.107848075709768</v>
      </c>
      <c r="J178" s="30">
        <f t="shared" si="22"/>
        <v>310</v>
      </c>
      <c r="K178" s="195"/>
      <c r="L178" s="27">
        <f t="shared" si="21"/>
        <v>405.10784807570974</v>
      </c>
    </row>
    <row r="179" spans="1:12" x14ac:dyDescent="0.45">
      <c r="A179" s="318"/>
      <c r="B179" s="5" t="s">
        <v>11</v>
      </c>
      <c r="C179" s="2">
        <v>501</v>
      </c>
      <c r="D179" s="1">
        <v>3950447</v>
      </c>
      <c r="E179" s="1">
        <v>3976599</v>
      </c>
      <c r="F179" s="41">
        <f t="shared" si="17"/>
        <v>26.152000000000001</v>
      </c>
      <c r="G179" s="22">
        <f t="shared" si="18"/>
        <v>101.57205804416405</v>
      </c>
      <c r="H179" s="45">
        <f t="shared" si="19"/>
        <v>10.830848706624579</v>
      </c>
      <c r="I179" s="42">
        <f t="shared" si="20"/>
        <v>112.40290675078863</v>
      </c>
      <c r="J179" s="30">
        <f t="shared" si="22"/>
        <v>310</v>
      </c>
      <c r="K179" s="195">
        <v>10</v>
      </c>
      <c r="L179" s="27">
        <f t="shared" si="21"/>
        <v>432.40290675078865</v>
      </c>
    </row>
    <row r="180" spans="1:12" x14ac:dyDescent="0.45">
      <c r="A180" s="318"/>
      <c r="B180" s="5" t="s">
        <v>11</v>
      </c>
      <c r="C180" s="2">
        <v>502</v>
      </c>
      <c r="D180" s="1">
        <v>3949528</v>
      </c>
      <c r="E180" s="1">
        <v>3963950</v>
      </c>
      <c r="F180" s="41">
        <f t="shared" si="17"/>
        <v>14.422000000000001</v>
      </c>
      <c r="G180" s="22">
        <f t="shared" si="18"/>
        <v>56.013774132492124</v>
      </c>
      <c r="H180" s="45">
        <f t="shared" si="19"/>
        <v>10.830848706624579</v>
      </c>
      <c r="I180" s="42">
        <f t="shared" si="20"/>
        <v>66.84462283911671</v>
      </c>
      <c r="J180" s="30">
        <f t="shared" si="22"/>
        <v>310</v>
      </c>
      <c r="K180" s="195"/>
      <c r="L180" s="27">
        <f t="shared" si="21"/>
        <v>376.84462283911671</v>
      </c>
    </row>
    <row r="181" spans="1:12" x14ac:dyDescent="0.45">
      <c r="A181" s="318"/>
      <c r="B181" s="5" t="s">
        <v>11</v>
      </c>
      <c r="C181" s="2">
        <v>503</v>
      </c>
      <c r="D181" s="1">
        <v>2412632</v>
      </c>
      <c r="E181" s="1">
        <v>2428362</v>
      </c>
      <c r="F181" s="41">
        <f t="shared" si="17"/>
        <v>15.73</v>
      </c>
      <c r="G181" s="22">
        <f t="shared" si="18"/>
        <v>61.093930599369095</v>
      </c>
      <c r="H181" s="45">
        <f t="shared" si="19"/>
        <v>10.830848706624579</v>
      </c>
      <c r="I181" s="42">
        <f t="shared" si="20"/>
        <v>71.924779305993667</v>
      </c>
      <c r="J181" s="30">
        <f t="shared" si="22"/>
        <v>310</v>
      </c>
      <c r="K181" s="195"/>
      <c r="L181" s="27">
        <f t="shared" si="21"/>
        <v>381.92477930599364</v>
      </c>
    </row>
    <row r="182" spans="1:12" x14ac:dyDescent="0.45">
      <c r="A182" s="318"/>
      <c r="B182" s="5" t="s">
        <v>11</v>
      </c>
      <c r="C182" s="2" t="s">
        <v>344</v>
      </c>
      <c r="D182" s="1">
        <v>3305689</v>
      </c>
      <c r="E182" s="1">
        <v>3327617</v>
      </c>
      <c r="F182" s="41">
        <f t="shared" si="17"/>
        <v>21.928000000000001</v>
      </c>
      <c r="G182" s="22">
        <f t="shared" si="18"/>
        <v>85.166415141955852</v>
      </c>
      <c r="H182" s="45">
        <f t="shared" si="19"/>
        <v>10.830848706624579</v>
      </c>
      <c r="I182" s="42">
        <f t="shared" si="20"/>
        <v>95.997263848580431</v>
      </c>
      <c r="J182" s="30">
        <f t="shared" si="22"/>
        <v>310</v>
      </c>
      <c r="K182" s="195"/>
      <c r="L182" s="27">
        <f t="shared" si="21"/>
        <v>405.99726384858042</v>
      </c>
    </row>
    <row r="183" spans="1:12" ht="15" customHeight="1" x14ac:dyDescent="0.45">
      <c r="F183" s="193">
        <f>SUM(F3:F182)</f>
        <v>2985.0440000000012</v>
      </c>
      <c r="G183" s="22">
        <f t="shared" si="18"/>
        <v>11593.647232807578</v>
      </c>
      <c r="H183" s="243">
        <f>SUM(H3:H182)</f>
        <v>1949.5527671924337</v>
      </c>
      <c r="I183" s="42">
        <f t="shared" si="20"/>
        <v>13543.200000000012</v>
      </c>
      <c r="L183" s="161" t="s">
        <v>12</v>
      </c>
    </row>
    <row r="184" spans="1:12" ht="15" customHeight="1" x14ac:dyDescent="0.45">
      <c r="F184" t="s">
        <v>12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7642.2</v>
      </c>
      <c r="F188" s="93">
        <v>1960</v>
      </c>
      <c r="G188" s="92">
        <f>MMULT(E188,1/F188)</f>
        <v>3.8990816326530613</v>
      </c>
      <c r="H188" s="20"/>
    </row>
    <row r="189" spans="1:12" ht="15" customHeight="1" thickBot="1" x14ac:dyDescent="0.5">
      <c r="D189" s="46">
        <v>6244619</v>
      </c>
      <c r="E189" s="88">
        <v>5901</v>
      </c>
      <c r="F189" s="94">
        <v>1527</v>
      </c>
      <c r="G189" s="92">
        <f>MMULT(E189,1/F189)</f>
        <v>3.8644400785854618</v>
      </c>
      <c r="H189" s="152"/>
    </row>
    <row r="190" spans="1:12" ht="15" customHeight="1" thickBot="1" x14ac:dyDescent="0.5">
      <c r="D190" s="6" t="s">
        <v>33</v>
      </c>
      <c r="E190" s="48">
        <f>SUM(E188:E189)</f>
        <v>13543.2</v>
      </c>
      <c r="F190" s="95">
        <f>SUM(F188:F189)</f>
        <v>3487</v>
      </c>
      <c r="G190" s="92" t="s">
        <v>12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19" t="s">
        <v>69</v>
      </c>
      <c r="E192" s="319"/>
      <c r="F192" s="49">
        <f>SUM(F190)</f>
        <v>3487</v>
      </c>
      <c r="G192" s="156">
        <f>SUM(I192)</f>
        <v>3.8839116719242903</v>
      </c>
      <c r="H192" s="155" t="s">
        <v>12</v>
      </c>
      <c r="I192" s="157" cm="1">
        <f t="array" ref="I192">MMULT(E190,1/F190)</f>
        <v>3.8839116719242903</v>
      </c>
    </row>
    <row r="193" spans="4:9" ht="15" customHeight="1" x14ac:dyDescent="0.45">
      <c r="D193" s="320" t="s">
        <v>271</v>
      </c>
      <c r="E193" s="321"/>
      <c r="F193" s="49">
        <f>SUM(F183)</f>
        <v>2985.0440000000012</v>
      </c>
      <c r="G193" s="27">
        <f>MMULT(F193,G192)</f>
        <v>11593.647232807576</v>
      </c>
      <c r="H193" s="61"/>
    </row>
    <row r="194" spans="4:9" ht="15" customHeight="1" thickBot="1" x14ac:dyDescent="0.5">
      <c r="D194" s="320" t="s">
        <v>270</v>
      </c>
      <c r="E194" s="321"/>
      <c r="F194" s="49">
        <f>SUM(F192,-F193)</f>
        <v>501.95599999999877</v>
      </c>
      <c r="G194" s="158">
        <f>MMULT(F194,G192)</f>
        <v>1949.5527671924242</v>
      </c>
      <c r="H194" s="61"/>
    </row>
    <row r="195" spans="4:9" ht="15" customHeight="1" thickBot="1" x14ac:dyDescent="0.5">
      <c r="F195" s="7"/>
      <c r="G195" s="48">
        <f>SUM(G193:G194)</f>
        <v>13543.2</v>
      </c>
      <c r="I195" s="234" t="s">
        <v>12</v>
      </c>
    </row>
    <row r="196" spans="4:9" ht="15" customHeight="1" x14ac:dyDescent="0.45">
      <c r="F196" s="7"/>
    </row>
    <row r="197" spans="4:9" ht="15" customHeight="1" x14ac:dyDescent="0.45">
      <c r="F197" s="7"/>
    </row>
    <row r="198" spans="4:9" ht="15" customHeight="1" x14ac:dyDescent="0.45">
      <c r="D198" t="s">
        <v>70</v>
      </c>
      <c r="F198" s="20">
        <f>MAX(F3:F182)</f>
        <v>51.844000000000001</v>
      </c>
      <c r="G198" s="20">
        <f>MAX(I3:I182)</f>
        <v>212.18836542586752</v>
      </c>
    </row>
    <row r="199" spans="4:9" ht="15" customHeight="1" x14ac:dyDescent="0.45">
      <c r="D199" t="s">
        <v>71</v>
      </c>
      <c r="F199" s="20">
        <f>MIN(F3:F182)</f>
        <v>-1E-3</v>
      </c>
      <c r="G199" s="20">
        <f>MIN(I3:I182)</f>
        <v>10.826964794952655</v>
      </c>
    </row>
    <row r="200" spans="4:9" ht="15" customHeight="1" x14ac:dyDescent="0.45">
      <c r="D200" t="s">
        <v>265</v>
      </c>
      <c r="F200" s="92">
        <f>AVERAGE(F3:F182)</f>
        <v>16.583577777777784</v>
      </c>
      <c r="G200" s="92">
        <f>AVERAGE(G3:G182)</f>
        <v>64.409151293375359</v>
      </c>
    </row>
    <row r="201" spans="4:9" ht="15" customHeight="1" x14ac:dyDescent="0.45">
      <c r="D201" t="s">
        <v>273</v>
      </c>
      <c r="F201" s="92">
        <f>AVERAGE(F199,F198)</f>
        <v>25.921500000000002</v>
      </c>
      <c r="G201" t="s">
        <v>12</v>
      </c>
    </row>
    <row r="202" spans="4:9" ht="15.75" customHeight="1" x14ac:dyDescent="0.45"/>
    <row r="203" spans="4:9" ht="15" customHeight="1" x14ac:dyDescent="0.45"/>
    <row r="204" spans="4:9" ht="15" customHeight="1" x14ac:dyDescent="0.45"/>
    <row r="205" spans="4:9" ht="15" customHeight="1" x14ac:dyDescent="0.45"/>
    <row r="206" spans="4:9" ht="15" customHeight="1" x14ac:dyDescent="0.45"/>
    <row r="207" spans="4:9" ht="15" customHeight="1" x14ac:dyDescent="0.45"/>
    <row r="208" spans="4:9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9115-0C58-4BC5-846D-37EED66316C6}">
  <dimension ref="A1:O222"/>
  <sheetViews>
    <sheetView zoomScale="85" zoomScaleNormal="85" workbookViewId="0">
      <pane xSplit="1" ySplit="2" topLeftCell="B179" activePane="bottomRight" state="frozen"/>
      <selection pane="topRight" activeCell="B1" sqref="B1"/>
      <selection pane="bottomLeft" activeCell="A4" sqref="A4"/>
      <selection pane="bottomRight" activeCell="F3" sqref="F3:F182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11541.750801444918</v>
      </c>
      <c r="H1" s="27">
        <f>SUM(G194)</f>
        <v>1302.8491985550825</v>
      </c>
      <c r="I1" s="316">
        <f>SUM(G1:H1)</f>
        <v>12844.6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44084</v>
      </c>
      <c r="E2" s="3">
        <v>44114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3118484</v>
      </c>
      <c r="E3" s="1">
        <v>3134030</v>
      </c>
      <c r="F3" s="41">
        <v>12.449</v>
      </c>
      <c r="G3" s="22">
        <f>MMULT($G$1,1/$F$183)*F3</f>
        <v>48.134384527393145</v>
      </c>
      <c r="H3" s="45">
        <f>MMULT($H$1,1/180)</f>
        <v>7.2380511030837917</v>
      </c>
      <c r="I3" s="42">
        <f>SUM(G3,H3)</f>
        <v>55.372435630476936</v>
      </c>
      <c r="J3" s="30">
        <v>310</v>
      </c>
      <c r="K3" s="195"/>
      <c r="L3" s="27">
        <f>SUM(I3,J3,K3)</f>
        <v>365.37243563047696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1984200</v>
      </c>
      <c r="E4" s="1">
        <v>1993778</v>
      </c>
      <c r="F4" s="41">
        <v>9.6080000000000005</v>
      </c>
      <c r="G4" s="22">
        <f>MMULT($G$1,1/$F$183)*F4</f>
        <v>37.149583624322702</v>
      </c>
      <c r="H4" s="45">
        <f t="shared" ref="H4:H67" si="0">MMULT($H$1,1/180)</f>
        <v>7.2380511030837917</v>
      </c>
      <c r="I4" s="42">
        <f t="shared" ref="I4:I67" si="1">SUM(G4,H4)</f>
        <v>44.387634727406493</v>
      </c>
      <c r="J4" s="30">
        <f>SUM($J$3)</f>
        <v>310</v>
      </c>
      <c r="K4" s="195"/>
      <c r="L4" s="27">
        <f t="shared" ref="L4:L67" si="2">SUM(I4,J4,K4)</f>
        <v>354.38763472740652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2911812</v>
      </c>
      <c r="E5" s="1">
        <v>2921287</v>
      </c>
      <c r="F5" s="41">
        <v>10.509</v>
      </c>
      <c r="G5" s="22">
        <f>MMULT($G$1,1/$F$183)*F5</f>
        <v>40.633323720650218</v>
      </c>
      <c r="H5" s="45">
        <f t="shared" si="0"/>
        <v>7.2380511030837917</v>
      </c>
      <c r="I5" s="42">
        <f t="shared" si="1"/>
        <v>47.871374823734008</v>
      </c>
      <c r="J5" s="30">
        <f t="shared" ref="J5:J68" si="3">SUM($J$3)</f>
        <v>310</v>
      </c>
      <c r="K5" s="195"/>
      <c r="L5" s="27">
        <f t="shared" si="2"/>
        <v>357.87137482373402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2518617</v>
      </c>
      <c r="E6" s="1">
        <v>2529199</v>
      </c>
      <c r="F6" s="41">
        <v>9.8620000000000001</v>
      </c>
      <c r="G6" s="22">
        <f t="shared" ref="G6:G67" si="4">MMULT($G$1,1/$F$183)*F6</f>
        <v>38.131681276339556</v>
      </c>
      <c r="H6" s="45">
        <f t="shared" si="0"/>
        <v>7.2380511030837917</v>
      </c>
      <c r="I6" s="42">
        <f t="shared" si="1"/>
        <v>45.369732379423347</v>
      </c>
      <c r="J6" s="30">
        <f t="shared" si="3"/>
        <v>310</v>
      </c>
      <c r="K6" s="195"/>
      <c r="L6" s="27">
        <f t="shared" si="2"/>
        <v>355.36973237942334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3681977</v>
      </c>
      <c r="E7" s="1">
        <v>3701285</v>
      </c>
      <c r="F7" s="41">
        <v>16.343</v>
      </c>
      <c r="G7" s="22">
        <f t="shared" si="4"/>
        <v>63.190637507525594</v>
      </c>
      <c r="H7" s="45">
        <f t="shared" si="0"/>
        <v>7.2380511030837917</v>
      </c>
      <c r="I7" s="42">
        <f t="shared" si="1"/>
        <v>70.428688610609385</v>
      </c>
      <c r="J7" s="30">
        <f t="shared" si="3"/>
        <v>310</v>
      </c>
      <c r="K7" s="195"/>
      <c r="L7" s="27">
        <f t="shared" si="2"/>
        <v>380.42868861060936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153431</v>
      </c>
      <c r="E8" s="1">
        <v>170160</v>
      </c>
      <c r="F8" s="41">
        <v>17.358000000000001</v>
      </c>
      <c r="G8" s="22">
        <f t="shared" si="4"/>
        <v>67.115161589403982</v>
      </c>
      <c r="H8" s="45">
        <f t="shared" si="0"/>
        <v>7.2380511030837917</v>
      </c>
      <c r="I8" s="42">
        <f t="shared" si="1"/>
        <v>74.353212692487773</v>
      </c>
      <c r="J8" s="30">
        <f t="shared" si="3"/>
        <v>310</v>
      </c>
      <c r="K8" s="195"/>
      <c r="L8" s="27">
        <f t="shared" si="2"/>
        <v>384.35321269248777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4898353</v>
      </c>
      <c r="E9" s="1">
        <v>4918373</v>
      </c>
      <c r="F9" s="41">
        <v>20.614000000000001</v>
      </c>
      <c r="G9" s="22">
        <f t="shared" si="4"/>
        <v>79.704570860927163</v>
      </c>
      <c r="H9" s="45">
        <f t="shared" si="0"/>
        <v>7.2380511030837917</v>
      </c>
      <c r="I9" s="42">
        <f t="shared" si="1"/>
        <v>86.942621964010954</v>
      </c>
      <c r="J9" s="30">
        <f t="shared" si="3"/>
        <v>310</v>
      </c>
      <c r="K9" s="195"/>
      <c r="L9" s="27">
        <f t="shared" si="2"/>
        <v>396.94262196401098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1957309</v>
      </c>
      <c r="E10" s="1">
        <v>1971549</v>
      </c>
      <c r="F10" s="41">
        <v>20.815999999999999</v>
      </c>
      <c r="G10" s="22">
        <f t="shared" si="4"/>
        <v>80.485609151113792</v>
      </c>
      <c r="H10" s="45">
        <f t="shared" si="0"/>
        <v>7.2380511030837917</v>
      </c>
      <c r="I10" s="42">
        <f t="shared" si="1"/>
        <v>87.723660254197583</v>
      </c>
      <c r="J10" s="30">
        <f t="shared" si="3"/>
        <v>310</v>
      </c>
      <c r="K10" s="195"/>
      <c r="L10" s="27">
        <f t="shared" si="2"/>
        <v>397.72366025419757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3993428</v>
      </c>
      <c r="E11" s="1">
        <v>4019336</v>
      </c>
      <c r="F11" s="41">
        <v>26.97</v>
      </c>
      <c r="G11" s="22">
        <f t="shared" si="4"/>
        <v>104.28021131848286</v>
      </c>
      <c r="H11" s="45">
        <f t="shared" si="0"/>
        <v>7.2380511030837917</v>
      </c>
      <c r="I11" s="42">
        <f t="shared" si="1"/>
        <v>111.51826242156665</v>
      </c>
      <c r="J11" s="30">
        <f t="shared" si="3"/>
        <v>310</v>
      </c>
      <c r="K11" s="195">
        <v>10</v>
      </c>
      <c r="L11" s="27">
        <f t="shared" si="2"/>
        <v>431.51826242156665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4331929</v>
      </c>
      <c r="E12" s="1">
        <v>4353651</v>
      </c>
      <c r="F12" s="41">
        <v>24.039000000000001</v>
      </c>
      <c r="G12" s="22">
        <f t="shared" si="4"/>
        <v>92.94742305839857</v>
      </c>
      <c r="H12" s="45">
        <f t="shared" si="0"/>
        <v>7.2380511030837917</v>
      </c>
      <c r="I12" s="42">
        <f t="shared" si="1"/>
        <v>100.18547416148236</v>
      </c>
      <c r="J12" s="30">
        <f t="shared" si="3"/>
        <v>310</v>
      </c>
      <c r="K12" s="195">
        <v>10</v>
      </c>
      <c r="L12" s="27">
        <f t="shared" si="2"/>
        <v>420.18547416148238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3599964</v>
      </c>
      <c r="E13" s="1">
        <v>3616362</v>
      </c>
      <c r="F13" s="41">
        <v>14.266</v>
      </c>
      <c r="G13" s="22">
        <f t="shared" si="4"/>
        <v>55.159862612883813</v>
      </c>
      <c r="H13" s="45">
        <f t="shared" si="0"/>
        <v>7.2380511030837917</v>
      </c>
      <c r="I13" s="42">
        <f t="shared" si="1"/>
        <v>62.397913715967604</v>
      </c>
      <c r="J13" s="30">
        <f t="shared" si="3"/>
        <v>310</v>
      </c>
      <c r="K13" s="195"/>
      <c r="L13" s="27">
        <f t="shared" si="2"/>
        <v>372.3979137159676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1649729</v>
      </c>
      <c r="E14" s="1">
        <v>1662563</v>
      </c>
      <c r="F14" s="41">
        <v>14.625999999999999</v>
      </c>
      <c r="G14" s="22">
        <f t="shared" si="4"/>
        <v>56.551812040939197</v>
      </c>
      <c r="H14" s="45">
        <f t="shared" si="0"/>
        <v>7.2380511030837917</v>
      </c>
      <c r="I14" s="42">
        <f t="shared" si="1"/>
        <v>63.789863144022988</v>
      </c>
      <c r="J14" s="30">
        <f t="shared" si="3"/>
        <v>310</v>
      </c>
      <c r="K14" s="195"/>
      <c r="L14" s="27">
        <f t="shared" si="2"/>
        <v>373.789863144023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2225808</v>
      </c>
      <c r="E15" s="1">
        <v>2231885</v>
      </c>
      <c r="F15" s="41">
        <v>5.9450000000000003</v>
      </c>
      <c r="G15" s="22">
        <f t="shared" si="4"/>
        <v>22.986498193859124</v>
      </c>
      <c r="H15" s="45">
        <f t="shared" si="0"/>
        <v>7.2380511030837917</v>
      </c>
      <c r="I15" s="42">
        <f t="shared" si="1"/>
        <v>30.224549296942914</v>
      </c>
      <c r="J15" s="30">
        <f t="shared" si="3"/>
        <v>310</v>
      </c>
      <c r="K15" s="195"/>
      <c r="L15" s="27">
        <f t="shared" si="2"/>
        <v>340.22454929694294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5579887</v>
      </c>
      <c r="E16" s="1">
        <v>5587039</v>
      </c>
      <c r="F16" s="41">
        <v>10.159000000000001</v>
      </c>
      <c r="G16" s="22">
        <f t="shared" si="4"/>
        <v>39.280039554485256</v>
      </c>
      <c r="H16" s="45">
        <f t="shared" si="0"/>
        <v>7.2380511030837917</v>
      </c>
      <c r="I16" s="42">
        <f t="shared" si="1"/>
        <v>46.518090657569047</v>
      </c>
      <c r="J16" s="30">
        <f t="shared" si="3"/>
        <v>310</v>
      </c>
      <c r="K16" s="195"/>
      <c r="L16" s="27">
        <f t="shared" si="2"/>
        <v>356.51809065756902</v>
      </c>
    </row>
    <row r="17" spans="1:12" ht="15" customHeight="1" x14ac:dyDescent="0.45">
      <c r="A17" s="318"/>
      <c r="B17" s="5" t="s">
        <v>3</v>
      </c>
      <c r="C17" s="2">
        <v>403</v>
      </c>
      <c r="D17" s="1">
        <v>3001638</v>
      </c>
      <c r="E17" s="1">
        <v>3007615</v>
      </c>
      <c r="F17" s="41">
        <v>11.334</v>
      </c>
      <c r="G17" s="22">
        <f t="shared" si="4"/>
        <v>43.823207826610478</v>
      </c>
      <c r="H17" s="45">
        <f t="shared" si="0"/>
        <v>7.2380511030837917</v>
      </c>
      <c r="I17" s="42">
        <f t="shared" si="1"/>
        <v>51.061258929694269</v>
      </c>
      <c r="J17" s="30">
        <f t="shared" si="3"/>
        <v>310</v>
      </c>
      <c r="K17" s="195"/>
      <c r="L17" s="27">
        <f t="shared" si="2"/>
        <v>361.06125892969425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2649841</v>
      </c>
      <c r="E18" s="1">
        <v>2661178</v>
      </c>
      <c r="F18" s="41">
        <v>11.231</v>
      </c>
      <c r="G18" s="22">
        <f t="shared" si="4"/>
        <v>43.424955629139077</v>
      </c>
      <c r="H18" s="45">
        <f t="shared" si="0"/>
        <v>7.2380511030837917</v>
      </c>
      <c r="I18" s="42">
        <f t="shared" si="1"/>
        <v>50.663006732222868</v>
      </c>
      <c r="J18" s="30">
        <f t="shared" si="3"/>
        <v>310</v>
      </c>
      <c r="K18" s="195"/>
      <c r="L18" s="27">
        <f t="shared" si="2"/>
        <v>360.66300673222287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3866089</v>
      </c>
      <c r="E19" s="1">
        <v>3890456</v>
      </c>
      <c r="F19" s="41">
        <v>20.503</v>
      </c>
      <c r="G19" s="22">
        <f t="shared" si="4"/>
        <v>79.275386453943412</v>
      </c>
      <c r="H19" s="45">
        <f t="shared" si="0"/>
        <v>7.2380511030837917</v>
      </c>
      <c r="I19" s="42">
        <f t="shared" si="1"/>
        <v>86.513437557027203</v>
      </c>
      <c r="J19" s="30">
        <f t="shared" si="3"/>
        <v>310</v>
      </c>
      <c r="K19" s="195"/>
      <c r="L19" s="27">
        <f t="shared" si="2"/>
        <v>396.5134375570272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5793106</v>
      </c>
      <c r="E20" s="1">
        <v>5829922</v>
      </c>
      <c r="F20" s="41">
        <v>51.844000000000001</v>
      </c>
      <c r="G20" s="22">
        <f t="shared" si="4"/>
        <v>200.45618374473213</v>
      </c>
      <c r="H20" s="45">
        <f t="shared" si="0"/>
        <v>7.2380511030837917</v>
      </c>
      <c r="I20" s="42">
        <f t="shared" si="1"/>
        <v>207.69423484781592</v>
      </c>
      <c r="J20" s="30">
        <f t="shared" si="3"/>
        <v>310</v>
      </c>
      <c r="K20" s="195"/>
      <c r="L20" s="27">
        <f t="shared" si="2"/>
        <v>517.69423484781589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1950873</v>
      </c>
      <c r="E21" s="1">
        <v>1967962</v>
      </c>
      <c r="F21" s="41">
        <v>22.443999999999999</v>
      </c>
      <c r="G21" s="22">
        <f t="shared" si="4"/>
        <v>86.780313786875382</v>
      </c>
      <c r="H21" s="45">
        <f t="shared" si="0"/>
        <v>7.2380511030837917</v>
      </c>
      <c r="I21" s="42">
        <f t="shared" si="1"/>
        <v>94.018364889959173</v>
      </c>
      <c r="J21" s="30">
        <f t="shared" si="3"/>
        <v>310</v>
      </c>
      <c r="K21" s="195"/>
      <c r="L21" s="27">
        <f t="shared" si="2"/>
        <v>404.01836488995917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293894</v>
      </c>
      <c r="E22" s="1">
        <v>295490</v>
      </c>
      <c r="F22" s="41">
        <v>1.663</v>
      </c>
      <c r="G22" s="22">
        <f t="shared" si="4"/>
        <v>6.4300330523780866</v>
      </c>
      <c r="H22" s="45">
        <f t="shared" si="0"/>
        <v>7.2380511030837917</v>
      </c>
      <c r="I22" s="42">
        <f t="shared" si="1"/>
        <v>13.668084155461878</v>
      </c>
      <c r="J22" s="30">
        <f t="shared" si="3"/>
        <v>310</v>
      </c>
      <c r="K22" s="195"/>
      <c r="L22" s="27">
        <f t="shared" si="2"/>
        <v>323.66808415546188</v>
      </c>
    </row>
    <row r="23" spans="1:12" ht="15" customHeight="1" x14ac:dyDescent="0.45">
      <c r="A23" s="314"/>
      <c r="B23" s="5" t="s">
        <v>4</v>
      </c>
      <c r="C23" s="2">
        <v>101</v>
      </c>
      <c r="D23" s="1">
        <v>84983</v>
      </c>
      <c r="E23" s="1">
        <v>85942</v>
      </c>
      <c r="F23" s="41">
        <v>10.4</v>
      </c>
      <c r="G23" s="22">
        <f t="shared" si="4"/>
        <v>40.21187236604456</v>
      </c>
      <c r="H23" s="45">
        <f t="shared" si="0"/>
        <v>7.2380511030837917</v>
      </c>
      <c r="I23" s="42">
        <f t="shared" si="1"/>
        <v>47.44992346912835</v>
      </c>
      <c r="J23" s="30">
        <f t="shared" si="3"/>
        <v>310</v>
      </c>
      <c r="K23" s="195"/>
      <c r="L23" s="27">
        <f t="shared" si="2"/>
        <v>357.44992346912835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3492666</v>
      </c>
      <c r="E24" s="1">
        <v>3518272</v>
      </c>
      <c r="F24" s="41">
        <v>25.521000000000001</v>
      </c>
      <c r="G24" s="22">
        <f t="shared" si="4"/>
        <v>98.677614870559921</v>
      </c>
      <c r="H24" s="45">
        <f t="shared" si="0"/>
        <v>7.2380511030837917</v>
      </c>
      <c r="I24" s="42">
        <f t="shared" si="1"/>
        <v>105.91566597364371</v>
      </c>
      <c r="J24" s="30">
        <f t="shared" si="3"/>
        <v>310</v>
      </c>
      <c r="K24" s="195">
        <v>10</v>
      </c>
      <c r="L24" s="27">
        <f t="shared" si="2"/>
        <v>425.91566597364374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3475757</v>
      </c>
      <c r="E25" s="1">
        <v>3491990</v>
      </c>
      <c r="F25" s="41">
        <v>15.788</v>
      </c>
      <c r="G25" s="22">
        <f t="shared" si="4"/>
        <v>61.044715472606875</v>
      </c>
      <c r="H25" s="45">
        <f t="shared" si="0"/>
        <v>7.2380511030837917</v>
      </c>
      <c r="I25" s="42">
        <f t="shared" si="1"/>
        <v>68.282766575690673</v>
      </c>
      <c r="J25" s="30">
        <f t="shared" si="3"/>
        <v>310</v>
      </c>
      <c r="K25" s="195"/>
      <c r="L25" s="27">
        <f t="shared" si="2"/>
        <v>378.28276657569069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5295555</v>
      </c>
      <c r="E26" s="1">
        <v>5310233</v>
      </c>
      <c r="F26" s="41">
        <v>14.19</v>
      </c>
      <c r="G26" s="22">
        <f t="shared" si="4"/>
        <v>54.866006622516558</v>
      </c>
      <c r="H26" s="45">
        <f t="shared" si="0"/>
        <v>7.2380511030837917</v>
      </c>
      <c r="I26" s="42">
        <f t="shared" si="1"/>
        <v>62.104057725600349</v>
      </c>
      <c r="J26" s="30">
        <f t="shared" si="3"/>
        <v>310</v>
      </c>
      <c r="K26" s="195"/>
      <c r="L26" s="27">
        <f t="shared" si="2"/>
        <v>372.10405772560034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2792130</v>
      </c>
      <c r="E27" s="1">
        <v>2808244</v>
      </c>
      <c r="F27" s="41">
        <v>27.242000000000001</v>
      </c>
      <c r="G27" s="22">
        <f t="shared" si="4"/>
        <v>105.33190644190249</v>
      </c>
      <c r="H27" s="45">
        <f t="shared" si="0"/>
        <v>7.2380511030837917</v>
      </c>
      <c r="I27" s="42">
        <f t="shared" si="1"/>
        <v>112.56995754498628</v>
      </c>
      <c r="J27" s="30">
        <f t="shared" si="3"/>
        <v>310</v>
      </c>
      <c r="K27" s="195"/>
      <c r="L27" s="27">
        <f t="shared" si="2"/>
        <v>422.56995754498627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2575338</v>
      </c>
      <c r="E28" s="1">
        <v>2582387</v>
      </c>
      <c r="F28" s="41">
        <v>8.6859999999999999</v>
      </c>
      <c r="G28" s="22">
        <f t="shared" si="4"/>
        <v>33.584646478025292</v>
      </c>
      <c r="H28" s="45">
        <f t="shared" si="0"/>
        <v>7.2380511030837917</v>
      </c>
      <c r="I28" s="42">
        <f t="shared" si="1"/>
        <v>40.822697581109082</v>
      </c>
      <c r="J28" s="30">
        <f t="shared" si="3"/>
        <v>310</v>
      </c>
      <c r="K28" s="195"/>
      <c r="L28" s="27">
        <f t="shared" si="2"/>
        <v>350.82269758110908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2461865</v>
      </c>
      <c r="E29" s="1">
        <v>2479373</v>
      </c>
      <c r="F29" s="41">
        <v>14.826000000000001</v>
      </c>
      <c r="G29" s="22">
        <f t="shared" si="4"/>
        <v>57.325117278747754</v>
      </c>
      <c r="H29" s="45">
        <f t="shared" si="0"/>
        <v>7.2380511030837917</v>
      </c>
      <c r="I29" s="42">
        <f t="shared" si="1"/>
        <v>64.563168381831545</v>
      </c>
      <c r="J29" s="30">
        <f t="shared" si="3"/>
        <v>310</v>
      </c>
      <c r="K29" s="195"/>
      <c r="L29" s="27">
        <f t="shared" si="2"/>
        <v>374.56316838183153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2807925</v>
      </c>
      <c r="E30" s="1">
        <v>2820726</v>
      </c>
      <c r="F30" s="41">
        <v>14.36</v>
      </c>
      <c r="G30" s="22">
        <f t="shared" si="4"/>
        <v>55.523316074653827</v>
      </c>
      <c r="H30" s="45">
        <f t="shared" si="0"/>
        <v>7.2380511030837917</v>
      </c>
      <c r="I30" s="42">
        <f t="shared" si="1"/>
        <v>62.761367177737618</v>
      </c>
      <c r="J30" s="30">
        <f t="shared" si="3"/>
        <v>310</v>
      </c>
      <c r="K30" s="195"/>
      <c r="L30" s="27">
        <f t="shared" si="2"/>
        <v>372.76136717773761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4234569</v>
      </c>
      <c r="E31" s="1">
        <v>4245430</v>
      </c>
      <c r="F31" s="41">
        <v>10.692</v>
      </c>
      <c r="G31" s="22">
        <f t="shared" si="4"/>
        <v>41.340898013245038</v>
      </c>
      <c r="H31" s="45">
        <f t="shared" si="0"/>
        <v>7.2380511030837917</v>
      </c>
      <c r="I31" s="42">
        <f t="shared" si="1"/>
        <v>48.578949116328829</v>
      </c>
      <c r="J31" s="30">
        <f t="shared" si="3"/>
        <v>310</v>
      </c>
      <c r="K31" s="195"/>
      <c r="L31" s="27">
        <f t="shared" si="2"/>
        <v>358.57894911632883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2565550</v>
      </c>
      <c r="E32" s="1">
        <v>2577771</v>
      </c>
      <c r="F32" s="41">
        <v>13.528</v>
      </c>
      <c r="G32" s="22">
        <f t="shared" si="4"/>
        <v>52.306366285370267</v>
      </c>
      <c r="H32" s="45">
        <f t="shared" si="0"/>
        <v>7.2380511030837917</v>
      </c>
      <c r="I32" s="42">
        <f t="shared" si="1"/>
        <v>59.544417388454058</v>
      </c>
      <c r="J32" s="30">
        <f t="shared" si="3"/>
        <v>310</v>
      </c>
      <c r="K32" s="195"/>
      <c r="L32" s="27">
        <f t="shared" si="2"/>
        <v>369.54441738845406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117310</v>
      </c>
      <c r="E33" s="1">
        <v>118753</v>
      </c>
      <c r="F33" s="41">
        <v>13.94</v>
      </c>
      <c r="G33" s="22">
        <f t="shared" si="4"/>
        <v>53.899375075255875</v>
      </c>
      <c r="H33" s="45">
        <f t="shared" si="0"/>
        <v>7.2380511030837917</v>
      </c>
      <c r="I33" s="42">
        <f t="shared" si="1"/>
        <v>61.137426178339666</v>
      </c>
      <c r="J33" s="30">
        <f t="shared" si="3"/>
        <v>310</v>
      </c>
      <c r="K33" s="195"/>
      <c r="L33" s="27">
        <f t="shared" si="2"/>
        <v>371.13742617833964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3445355</v>
      </c>
      <c r="E34" s="1">
        <v>3461949</v>
      </c>
      <c r="F34" s="41">
        <v>16.585000000000001</v>
      </c>
      <c r="G34" s="22">
        <f t="shared" si="4"/>
        <v>64.12633684527394</v>
      </c>
      <c r="H34" s="45">
        <f t="shared" si="0"/>
        <v>7.2380511030837917</v>
      </c>
      <c r="I34" s="42">
        <f t="shared" si="1"/>
        <v>71.364387948357731</v>
      </c>
      <c r="J34" s="30">
        <f t="shared" si="3"/>
        <v>310</v>
      </c>
      <c r="K34" s="195"/>
      <c r="L34" s="27">
        <f t="shared" si="2"/>
        <v>381.36438794835772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3298639</v>
      </c>
      <c r="E35" s="1">
        <v>3313456</v>
      </c>
      <c r="F35" s="41">
        <v>9.89</v>
      </c>
      <c r="G35" s="22">
        <f t="shared" si="4"/>
        <v>38.239944009632758</v>
      </c>
      <c r="H35" s="45">
        <f t="shared" si="0"/>
        <v>7.2380511030837917</v>
      </c>
      <c r="I35" s="42">
        <f t="shared" si="1"/>
        <v>45.477995112716549</v>
      </c>
      <c r="J35" s="30">
        <f t="shared" si="3"/>
        <v>310</v>
      </c>
      <c r="K35" s="195"/>
      <c r="L35" s="27">
        <f t="shared" si="2"/>
        <v>355.47799511271654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1335775</v>
      </c>
      <c r="E36" s="1">
        <v>1351378</v>
      </c>
      <c r="F36" s="41">
        <v>14.085000000000001</v>
      </c>
      <c r="G36" s="22">
        <f t="shared" si="4"/>
        <v>54.460021372667079</v>
      </c>
      <c r="H36" s="45">
        <f t="shared" si="0"/>
        <v>7.2380511030837917</v>
      </c>
      <c r="I36" s="42">
        <f t="shared" si="1"/>
        <v>61.69807247575087</v>
      </c>
      <c r="J36" s="30">
        <f t="shared" si="3"/>
        <v>310</v>
      </c>
      <c r="K36" s="195"/>
      <c r="L36" s="27">
        <f t="shared" si="2"/>
        <v>371.69807247575085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14008</v>
      </c>
      <c r="E37" s="1">
        <v>14008</v>
      </c>
      <c r="F37" s="41">
        <v>0</v>
      </c>
      <c r="G37" s="22">
        <f t="shared" si="4"/>
        <v>0</v>
      </c>
      <c r="H37" s="45">
        <f t="shared" si="0"/>
        <v>7.2380511030837917</v>
      </c>
      <c r="I37" s="42">
        <f t="shared" si="1"/>
        <v>7.2380511030837917</v>
      </c>
      <c r="J37" s="30">
        <f t="shared" si="3"/>
        <v>310</v>
      </c>
      <c r="K37" s="195"/>
      <c r="L37" s="27">
        <f t="shared" si="2"/>
        <v>317.23805110308382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3873500</v>
      </c>
      <c r="E38" s="1">
        <v>3895037</v>
      </c>
      <c r="F38" s="41">
        <v>26.237000000000002</v>
      </c>
      <c r="G38" s="22">
        <f t="shared" si="4"/>
        <v>101.44604762191453</v>
      </c>
      <c r="H38" s="45">
        <f t="shared" si="0"/>
        <v>7.2380511030837917</v>
      </c>
      <c r="I38" s="42">
        <f t="shared" si="1"/>
        <v>108.68409872499832</v>
      </c>
      <c r="J38" s="30">
        <f t="shared" si="3"/>
        <v>310</v>
      </c>
      <c r="K38" s="195"/>
      <c r="L38" s="27">
        <f t="shared" si="2"/>
        <v>418.68409872499831</v>
      </c>
    </row>
    <row r="39" spans="1:12" ht="15" customHeight="1" x14ac:dyDescent="0.45">
      <c r="A39" s="314"/>
      <c r="B39" s="5" t="s">
        <v>4</v>
      </c>
      <c r="C39" s="2">
        <v>501</v>
      </c>
      <c r="D39" s="1">
        <v>5119610</v>
      </c>
      <c r="E39" s="1">
        <v>5165224</v>
      </c>
      <c r="F39" s="41">
        <v>41.186999999999998</v>
      </c>
      <c r="G39" s="22">
        <f t="shared" si="4"/>
        <v>159.25061414810355</v>
      </c>
      <c r="H39" s="45">
        <f t="shared" si="0"/>
        <v>7.2380511030837917</v>
      </c>
      <c r="I39" s="42">
        <f t="shared" si="1"/>
        <v>166.48866525118734</v>
      </c>
      <c r="J39" s="30">
        <f t="shared" si="3"/>
        <v>310</v>
      </c>
      <c r="K39" s="195">
        <v>10</v>
      </c>
      <c r="L39" s="27">
        <f t="shared" si="2"/>
        <v>486.48866525118734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6711717</v>
      </c>
      <c r="E40" s="1">
        <v>6730683</v>
      </c>
      <c r="F40" s="41">
        <v>41.911000000000001</v>
      </c>
      <c r="G40" s="22">
        <f t="shared" si="4"/>
        <v>162.04997910897052</v>
      </c>
      <c r="H40" s="45">
        <f t="shared" si="0"/>
        <v>7.2380511030837917</v>
      </c>
      <c r="I40" s="42">
        <f t="shared" si="1"/>
        <v>169.28803021205431</v>
      </c>
      <c r="J40" s="30">
        <f t="shared" si="3"/>
        <v>310</v>
      </c>
      <c r="K40" s="195"/>
      <c r="L40" s="27">
        <f t="shared" si="2"/>
        <v>479.28803021205431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3773747</v>
      </c>
      <c r="E41" s="1">
        <v>3795734</v>
      </c>
      <c r="F41" s="41">
        <v>21.088000000000001</v>
      </c>
      <c r="G41" s="22">
        <f t="shared" si="4"/>
        <v>81.537304274533426</v>
      </c>
      <c r="H41" s="45">
        <f t="shared" si="0"/>
        <v>7.2380511030837917</v>
      </c>
      <c r="I41" s="42">
        <f t="shared" si="1"/>
        <v>88.775355377617217</v>
      </c>
      <c r="J41" s="30">
        <f t="shared" si="3"/>
        <v>310</v>
      </c>
      <c r="K41" s="195"/>
      <c r="L41" s="27">
        <f t="shared" si="2"/>
        <v>398.77535537761719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2964446</v>
      </c>
      <c r="E42" s="1">
        <v>2975778</v>
      </c>
      <c r="F42" s="41">
        <v>0</v>
      </c>
      <c r="G42" s="22">
        <f t="shared" si="4"/>
        <v>0</v>
      </c>
      <c r="H42" s="45">
        <f t="shared" si="0"/>
        <v>7.2380511030837917</v>
      </c>
      <c r="I42" s="42">
        <f t="shared" si="1"/>
        <v>7.2380511030837917</v>
      </c>
      <c r="J42" s="30">
        <f t="shared" si="3"/>
        <v>310</v>
      </c>
      <c r="K42" s="195"/>
      <c r="L42" s="27">
        <f t="shared" si="2"/>
        <v>317.23805110308382</v>
      </c>
    </row>
    <row r="43" spans="1:12" ht="15" customHeight="1" x14ac:dyDescent="0.45">
      <c r="A43" s="318"/>
      <c r="B43" s="5" t="s">
        <v>5</v>
      </c>
      <c r="C43" s="2">
        <v>101</v>
      </c>
      <c r="D43" s="1">
        <v>30632</v>
      </c>
      <c r="E43" s="1">
        <v>31231</v>
      </c>
      <c r="F43" s="41">
        <v>5.87</v>
      </c>
      <c r="G43" s="22">
        <f t="shared" si="4"/>
        <v>22.696508729680918</v>
      </c>
      <c r="H43" s="45">
        <f t="shared" si="0"/>
        <v>7.2380511030837917</v>
      </c>
      <c r="I43" s="42">
        <f t="shared" si="1"/>
        <v>29.934559832764709</v>
      </c>
      <c r="J43" s="30">
        <f t="shared" si="3"/>
        <v>310</v>
      </c>
      <c r="K43" s="195"/>
      <c r="L43" s="27">
        <f t="shared" si="2"/>
        <v>339.93455983276471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2965081</v>
      </c>
      <c r="E44" s="1">
        <v>2984639</v>
      </c>
      <c r="F44" s="41">
        <v>18.766000000000002</v>
      </c>
      <c r="G44" s="22">
        <f t="shared" si="4"/>
        <v>72.559230463576171</v>
      </c>
      <c r="H44" s="45">
        <f t="shared" si="0"/>
        <v>7.2380511030837917</v>
      </c>
      <c r="I44" s="42">
        <f t="shared" si="1"/>
        <v>79.797281566659962</v>
      </c>
      <c r="J44" s="30">
        <f t="shared" si="3"/>
        <v>310</v>
      </c>
      <c r="K44" s="195"/>
      <c r="L44" s="27">
        <f t="shared" si="2"/>
        <v>389.79728156665999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986841</v>
      </c>
      <c r="E45" s="1">
        <v>986841</v>
      </c>
      <c r="F45" s="41">
        <v>0</v>
      </c>
      <c r="G45" s="22">
        <f t="shared" si="4"/>
        <v>0</v>
      </c>
      <c r="H45" s="45">
        <f t="shared" si="0"/>
        <v>7.2380511030837917</v>
      </c>
      <c r="I45" s="42">
        <f t="shared" si="1"/>
        <v>7.2380511030837917</v>
      </c>
      <c r="J45" s="30">
        <f t="shared" si="3"/>
        <v>310</v>
      </c>
      <c r="K45" s="195"/>
      <c r="L45" s="27">
        <f t="shared" si="2"/>
        <v>317.23805110308382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4244695</v>
      </c>
      <c r="E46" s="1">
        <v>4265978</v>
      </c>
      <c r="F46" s="41">
        <v>16.491</v>
      </c>
      <c r="G46" s="22">
        <f t="shared" si="4"/>
        <v>63.762883383503919</v>
      </c>
      <c r="H46" s="45">
        <f t="shared" si="0"/>
        <v>7.2380511030837917</v>
      </c>
      <c r="I46" s="42">
        <f t="shared" si="1"/>
        <v>71.00093448658771</v>
      </c>
      <c r="J46" s="30">
        <f t="shared" si="3"/>
        <v>310</v>
      </c>
      <c r="K46" s="195"/>
      <c r="L46" s="27">
        <f t="shared" si="2"/>
        <v>381.00093448658771</v>
      </c>
    </row>
    <row r="47" spans="1:12" ht="15" customHeight="1" x14ac:dyDescent="0.45">
      <c r="A47" s="318"/>
      <c r="B47" s="5" t="s">
        <v>5</v>
      </c>
      <c r="C47" s="2">
        <v>201</v>
      </c>
      <c r="D47" s="1">
        <v>4036145</v>
      </c>
      <c r="E47" s="1">
        <v>4068608</v>
      </c>
      <c r="F47" s="41">
        <v>37.346000000000004</v>
      </c>
      <c r="G47" s="22">
        <f t="shared" si="4"/>
        <v>144.39928705599038</v>
      </c>
      <c r="H47" s="45">
        <f t="shared" si="0"/>
        <v>7.2380511030837917</v>
      </c>
      <c r="I47" s="42">
        <f t="shared" si="1"/>
        <v>151.63733815907418</v>
      </c>
      <c r="J47" s="30">
        <f t="shared" si="3"/>
        <v>310</v>
      </c>
      <c r="K47" s="195"/>
      <c r="L47" s="27">
        <f t="shared" si="2"/>
        <v>461.63733815907415</v>
      </c>
    </row>
    <row r="48" spans="1:12" ht="15" customHeight="1" x14ac:dyDescent="0.45">
      <c r="A48" s="318"/>
      <c r="B48" s="5" t="s">
        <v>5</v>
      </c>
      <c r="C48" s="2">
        <v>202</v>
      </c>
      <c r="D48" s="1">
        <v>3082605</v>
      </c>
      <c r="E48" s="1">
        <v>3112660</v>
      </c>
      <c r="F48" s="41">
        <v>31.129000000000001</v>
      </c>
      <c r="G48" s="22">
        <f t="shared" si="4"/>
        <v>120.36109373871165</v>
      </c>
      <c r="H48" s="45">
        <f t="shared" si="0"/>
        <v>7.2380511030837917</v>
      </c>
      <c r="I48" s="42">
        <f t="shared" si="1"/>
        <v>127.59914484179544</v>
      </c>
      <c r="J48" s="30">
        <f t="shared" si="3"/>
        <v>310</v>
      </c>
      <c r="K48" s="195"/>
      <c r="L48" s="27">
        <f t="shared" si="2"/>
        <v>437.59914484179546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2417561</v>
      </c>
      <c r="E49" s="1">
        <v>2430581</v>
      </c>
      <c r="F49" s="41">
        <v>13.971</v>
      </c>
      <c r="G49" s="22">
        <f t="shared" si="4"/>
        <v>54.019237387116199</v>
      </c>
      <c r="H49" s="45">
        <f t="shared" si="0"/>
        <v>7.2380511030837917</v>
      </c>
      <c r="I49" s="42">
        <f t="shared" si="1"/>
        <v>61.25728849019999</v>
      </c>
      <c r="J49" s="30">
        <f t="shared" si="3"/>
        <v>310</v>
      </c>
      <c r="K49" s="195"/>
      <c r="L49" s="27">
        <f t="shared" si="2"/>
        <v>371.25728849019998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2336834</v>
      </c>
      <c r="E50" s="1">
        <v>2350708</v>
      </c>
      <c r="F50" s="41">
        <v>27.658999999999999</v>
      </c>
      <c r="G50" s="22">
        <f t="shared" si="4"/>
        <v>106.94424786273331</v>
      </c>
      <c r="H50" s="45">
        <f t="shared" si="0"/>
        <v>7.2380511030837917</v>
      </c>
      <c r="I50" s="42">
        <f t="shared" si="1"/>
        <v>114.1822989658171</v>
      </c>
      <c r="J50" s="30">
        <f t="shared" si="3"/>
        <v>310</v>
      </c>
      <c r="K50" s="195">
        <v>10</v>
      </c>
      <c r="L50" s="27">
        <f t="shared" si="2"/>
        <v>434.1822989658171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2739653</v>
      </c>
      <c r="E51" s="1">
        <v>2748199</v>
      </c>
      <c r="F51" s="41">
        <v>13.404</v>
      </c>
      <c r="G51" s="22">
        <f t="shared" si="4"/>
        <v>51.826917037928965</v>
      </c>
      <c r="H51" s="45">
        <f t="shared" si="0"/>
        <v>7.2380511030837917</v>
      </c>
      <c r="I51" s="42">
        <f t="shared" si="1"/>
        <v>59.064968141012756</v>
      </c>
      <c r="J51" s="30">
        <f t="shared" si="3"/>
        <v>310</v>
      </c>
      <c r="K51" s="195"/>
      <c r="L51" s="27">
        <f t="shared" si="2"/>
        <v>369.06496814101274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4121575</v>
      </c>
      <c r="E52" s="1">
        <v>4136907</v>
      </c>
      <c r="F52" s="41">
        <v>17.272000000000002</v>
      </c>
      <c r="G52" s="22">
        <f t="shared" si="4"/>
        <v>66.782640337146319</v>
      </c>
      <c r="H52" s="45">
        <f t="shared" si="0"/>
        <v>7.2380511030837917</v>
      </c>
      <c r="I52" s="42">
        <f t="shared" si="1"/>
        <v>74.020691440230109</v>
      </c>
      <c r="J52" s="30">
        <f t="shared" si="3"/>
        <v>310</v>
      </c>
      <c r="K52" s="195">
        <v>10</v>
      </c>
      <c r="L52" s="27">
        <f t="shared" si="2"/>
        <v>394.02069144023011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3707422</v>
      </c>
      <c r="E53" s="1">
        <v>3716086</v>
      </c>
      <c r="F53" s="41">
        <v>7.8890000000000002</v>
      </c>
      <c r="G53" s="22">
        <f t="shared" si="4"/>
        <v>30.503025105358223</v>
      </c>
      <c r="H53" s="45">
        <f t="shared" si="0"/>
        <v>7.2380511030837917</v>
      </c>
      <c r="I53" s="42">
        <f t="shared" si="1"/>
        <v>37.741076208442017</v>
      </c>
      <c r="J53" s="30">
        <f t="shared" si="3"/>
        <v>310</v>
      </c>
      <c r="K53" s="195"/>
      <c r="L53" s="27">
        <f t="shared" si="2"/>
        <v>347.741076208442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2950625</v>
      </c>
      <c r="E54" s="1">
        <v>2960990</v>
      </c>
      <c r="F54" s="41">
        <v>12.825000000000001</v>
      </c>
      <c r="G54" s="22">
        <f t="shared" si="4"/>
        <v>49.588198374473222</v>
      </c>
      <c r="H54" s="45">
        <f t="shared" si="0"/>
        <v>7.2380511030837917</v>
      </c>
      <c r="I54" s="42">
        <f t="shared" si="1"/>
        <v>56.826249477557013</v>
      </c>
      <c r="J54" s="30">
        <f t="shared" si="3"/>
        <v>310</v>
      </c>
      <c r="K54" s="195"/>
      <c r="L54" s="27">
        <f t="shared" si="2"/>
        <v>366.82624947755698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3052033</v>
      </c>
      <c r="E55" s="1">
        <v>3060461</v>
      </c>
      <c r="F55" s="41">
        <v>9.8729999999999993</v>
      </c>
      <c r="G55" s="22">
        <f t="shared" si="4"/>
        <v>38.174213064419028</v>
      </c>
      <c r="H55" s="45">
        <f t="shared" si="0"/>
        <v>7.2380511030837917</v>
      </c>
      <c r="I55" s="42">
        <f t="shared" si="1"/>
        <v>45.412264167502819</v>
      </c>
      <c r="J55" s="30">
        <f t="shared" si="3"/>
        <v>310</v>
      </c>
      <c r="K55" s="195"/>
      <c r="L55" s="27">
        <f t="shared" si="2"/>
        <v>355.41226416750283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1329547</v>
      </c>
      <c r="E56" s="1">
        <v>1333470</v>
      </c>
      <c r="F56" s="41">
        <v>2.556</v>
      </c>
      <c r="G56" s="22">
        <f t="shared" si="4"/>
        <v>9.8828409391932581</v>
      </c>
      <c r="H56" s="45">
        <f t="shared" si="0"/>
        <v>7.2380511030837917</v>
      </c>
      <c r="I56" s="42">
        <f t="shared" si="1"/>
        <v>17.120892042277049</v>
      </c>
      <c r="J56" s="30">
        <f t="shared" si="3"/>
        <v>310</v>
      </c>
      <c r="K56" s="195"/>
      <c r="L56" s="27">
        <f t="shared" si="2"/>
        <v>327.12089204227703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167882</v>
      </c>
      <c r="E57" s="1">
        <v>169352</v>
      </c>
      <c r="F57" s="41">
        <v>8.31</v>
      </c>
      <c r="G57" s="22">
        <f t="shared" si="4"/>
        <v>32.130832630945221</v>
      </c>
      <c r="H57" s="45">
        <f t="shared" si="0"/>
        <v>7.2380511030837917</v>
      </c>
      <c r="I57" s="42">
        <f t="shared" si="1"/>
        <v>39.368883734029012</v>
      </c>
      <c r="J57" s="30">
        <f t="shared" si="3"/>
        <v>310</v>
      </c>
      <c r="K57" s="195"/>
      <c r="L57" s="27">
        <f t="shared" si="2"/>
        <v>349.368883734029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1994169</v>
      </c>
      <c r="E58" s="1">
        <v>2004650</v>
      </c>
      <c r="F58" s="41">
        <v>11.076000000000001</v>
      </c>
      <c r="G58" s="22">
        <f t="shared" si="4"/>
        <v>42.825644069837452</v>
      </c>
      <c r="H58" s="45">
        <f t="shared" si="0"/>
        <v>7.2380511030837917</v>
      </c>
      <c r="I58" s="42">
        <f t="shared" si="1"/>
        <v>50.063695172921243</v>
      </c>
      <c r="J58" s="30">
        <f t="shared" si="3"/>
        <v>310</v>
      </c>
      <c r="K58" s="195"/>
      <c r="L58" s="27">
        <f t="shared" si="2"/>
        <v>360.06369517292126</v>
      </c>
    </row>
    <row r="59" spans="1:12" ht="15" customHeight="1" x14ac:dyDescent="0.45">
      <c r="A59" s="318"/>
      <c r="B59" s="5" t="s">
        <v>5</v>
      </c>
      <c r="C59" s="2">
        <v>501</v>
      </c>
      <c r="D59" s="1">
        <v>3074722</v>
      </c>
      <c r="E59" s="1">
        <v>3120929</v>
      </c>
      <c r="F59" s="41">
        <v>44.725000000000001</v>
      </c>
      <c r="G59" s="22">
        <f t="shared" si="4"/>
        <v>172.93038380493681</v>
      </c>
      <c r="H59" s="45">
        <f t="shared" si="0"/>
        <v>7.2380511030837917</v>
      </c>
      <c r="I59" s="42">
        <f t="shared" si="1"/>
        <v>180.1684349080206</v>
      </c>
      <c r="J59" s="30">
        <f t="shared" si="3"/>
        <v>310</v>
      </c>
      <c r="K59" s="195"/>
      <c r="L59" s="27">
        <f t="shared" si="2"/>
        <v>490.16843490802057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3508182</v>
      </c>
      <c r="E60" s="1">
        <v>3522871</v>
      </c>
      <c r="F60" s="41">
        <v>15.103</v>
      </c>
      <c r="G60" s="22">
        <f t="shared" si="4"/>
        <v>58.396145033112589</v>
      </c>
      <c r="H60" s="45">
        <f t="shared" si="0"/>
        <v>7.2380511030837917</v>
      </c>
      <c r="I60" s="42">
        <f t="shared" si="1"/>
        <v>65.63419613619638</v>
      </c>
      <c r="J60" s="30">
        <f t="shared" si="3"/>
        <v>310</v>
      </c>
      <c r="K60" s="195"/>
      <c r="L60" s="27">
        <f t="shared" si="2"/>
        <v>375.63419613619635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4539594</v>
      </c>
      <c r="E61" s="1">
        <v>4563380</v>
      </c>
      <c r="F61" s="41">
        <v>26.184000000000001</v>
      </c>
      <c r="G61" s="22">
        <f t="shared" si="4"/>
        <v>101.24112173389526</v>
      </c>
      <c r="H61" s="45">
        <f t="shared" si="0"/>
        <v>7.2380511030837917</v>
      </c>
      <c r="I61" s="42">
        <f t="shared" si="1"/>
        <v>108.47917283697905</v>
      </c>
      <c r="J61" s="30">
        <f t="shared" si="3"/>
        <v>310</v>
      </c>
      <c r="K61" s="195"/>
      <c r="L61" s="27">
        <f t="shared" si="2"/>
        <v>418.47917283697905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2177069</v>
      </c>
      <c r="E62" s="1">
        <v>2194489</v>
      </c>
      <c r="F62" s="41">
        <v>19.11</v>
      </c>
      <c r="G62" s="22">
        <f t="shared" si="4"/>
        <v>73.889315472606867</v>
      </c>
      <c r="H62" s="45">
        <f t="shared" si="0"/>
        <v>7.2380511030837917</v>
      </c>
      <c r="I62" s="42">
        <f t="shared" si="1"/>
        <v>81.127366575690658</v>
      </c>
      <c r="J62" s="30">
        <f t="shared" si="3"/>
        <v>310</v>
      </c>
      <c r="K62" s="195"/>
      <c r="L62" s="27">
        <f t="shared" si="2"/>
        <v>391.12736657569064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4920219</v>
      </c>
      <c r="E63" s="1">
        <v>4939869</v>
      </c>
      <c r="F63" s="41">
        <v>17.045999999999999</v>
      </c>
      <c r="G63" s="22">
        <f t="shared" si="4"/>
        <v>65.908805418422645</v>
      </c>
      <c r="H63" s="45">
        <f t="shared" si="0"/>
        <v>7.2380511030837917</v>
      </c>
      <c r="I63" s="42">
        <f t="shared" si="1"/>
        <v>73.146856521506436</v>
      </c>
      <c r="J63" s="30">
        <f t="shared" si="3"/>
        <v>310</v>
      </c>
      <c r="K63" s="195"/>
      <c r="L63" s="27">
        <f t="shared" si="2"/>
        <v>383.14685652150644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4689164</v>
      </c>
      <c r="E64" s="1">
        <v>4690693</v>
      </c>
      <c r="F64" s="41">
        <v>0.53100000000000003</v>
      </c>
      <c r="G64" s="22">
        <f t="shared" si="4"/>
        <v>2.0531254063816982</v>
      </c>
      <c r="H64" s="45">
        <f t="shared" si="0"/>
        <v>7.2380511030837917</v>
      </c>
      <c r="I64" s="42">
        <f t="shared" si="1"/>
        <v>9.2911765094654903</v>
      </c>
      <c r="J64" s="30">
        <f t="shared" si="3"/>
        <v>310</v>
      </c>
      <c r="K64" s="195"/>
      <c r="L64" s="27">
        <f t="shared" si="2"/>
        <v>319.29117650946552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3426457</v>
      </c>
      <c r="E65" s="1">
        <v>3444147</v>
      </c>
      <c r="F65" s="41">
        <v>15.657999999999999</v>
      </c>
      <c r="G65" s="22">
        <f t="shared" si="4"/>
        <v>60.542067068031315</v>
      </c>
      <c r="H65" s="45">
        <f t="shared" si="0"/>
        <v>7.2380511030837917</v>
      </c>
      <c r="I65" s="42">
        <f t="shared" si="1"/>
        <v>67.780118171115106</v>
      </c>
      <c r="J65" s="30">
        <f t="shared" si="3"/>
        <v>310</v>
      </c>
      <c r="K65" s="195"/>
      <c r="L65" s="27">
        <f>SUM(I65,J65,K65)</f>
        <v>377.78011817111508</v>
      </c>
    </row>
    <row r="66" spans="1:12" ht="15" customHeight="1" x14ac:dyDescent="0.45">
      <c r="A66" s="314"/>
      <c r="B66" s="5" t="s">
        <v>6</v>
      </c>
      <c r="C66" s="2">
        <v>104</v>
      </c>
      <c r="D66" s="1">
        <v>178053</v>
      </c>
      <c r="E66" s="1">
        <v>201673</v>
      </c>
      <c r="F66" s="41">
        <v>23.048000000000002</v>
      </c>
      <c r="G66" s="22">
        <f t="shared" si="4"/>
        <v>89.115695605057212</v>
      </c>
      <c r="H66" s="45">
        <f t="shared" si="0"/>
        <v>7.2380511030837917</v>
      </c>
      <c r="I66" s="42">
        <f t="shared" si="1"/>
        <v>96.353746708141003</v>
      </c>
      <c r="J66" s="30">
        <f t="shared" si="3"/>
        <v>310</v>
      </c>
      <c r="K66" s="195"/>
      <c r="L66" s="27">
        <f t="shared" si="2"/>
        <v>406.35374670814099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4093633</v>
      </c>
      <c r="E67" s="1">
        <v>4102083</v>
      </c>
      <c r="F67" s="41">
        <v>8.7710000000000008</v>
      </c>
      <c r="G67" s="22">
        <f t="shared" si="4"/>
        <v>33.913301204093926</v>
      </c>
      <c r="H67" s="45">
        <f t="shared" si="0"/>
        <v>7.2380511030837917</v>
      </c>
      <c r="I67" s="42">
        <f t="shared" si="1"/>
        <v>41.151352307177717</v>
      </c>
      <c r="J67" s="30">
        <f t="shared" si="3"/>
        <v>310</v>
      </c>
      <c r="K67" s="195"/>
      <c r="L67" s="27">
        <f t="shared" si="2"/>
        <v>351.15135230717772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4350665</v>
      </c>
      <c r="E68" s="1">
        <v>4382725</v>
      </c>
      <c r="F68" s="41">
        <v>40.996000000000002</v>
      </c>
      <c r="G68" s="22">
        <f t="shared" ref="G68:G131" si="5">MMULT($G$1,1/$F$183)*F68</f>
        <v>158.51210764599642</v>
      </c>
      <c r="H68" s="45">
        <f t="shared" ref="H68:H131" si="6">MMULT($H$1,1/180)</f>
        <v>7.2380511030837917</v>
      </c>
      <c r="I68" s="42">
        <f t="shared" ref="I68:I131" si="7">SUM(G68,H68)</f>
        <v>165.75015874908021</v>
      </c>
      <c r="J68" s="30">
        <f t="shared" si="3"/>
        <v>310</v>
      </c>
      <c r="K68" s="195"/>
      <c r="L68" s="27">
        <f t="shared" ref="L68:L131" si="8">SUM(I68,J68,K68)</f>
        <v>475.75015874908024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2500019</v>
      </c>
      <c r="E69" s="1">
        <v>2502259</v>
      </c>
      <c r="F69" s="41">
        <v>1.978</v>
      </c>
      <c r="G69" s="22">
        <f t="shared" si="5"/>
        <v>7.6479888019265507</v>
      </c>
      <c r="H69" s="45">
        <f t="shared" si="6"/>
        <v>7.2380511030837917</v>
      </c>
      <c r="I69" s="42">
        <f t="shared" si="7"/>
        <v>14.886039905010342</v>
      </c>
      <c r="J69" s="30">
        <f t="shared" ref="J69:J132" si="9">SUM($J$3)</f>
        <v>310</v>
      </c>
      <c r="K69" s="195"/>
      <c r="L69" s="27">
        <f t="shared" si="8"/>
        <v>324.88603990501036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2466217</v>
      </c>
      <c r="E70" s="1">
        <v>2480057</v>
      </c>
      <c r="F70" s="41">
        <v>14.024000000000001</v>
      </c>
      <c r="G70" s="22">
        <f t="shared" si="5"/>
        <v>54.224163275135474</v>
      </c>
      <c r="H70" s="45">
        <f t="shared" si="6"/>
        <v>7.2380511030837917</v>
      </c>
      <c r="I70" s="42">
        <f t="shared" si="7"/>
        <v>61.462214378219265</v>
      </c>
      <c r="J70" s="30">
        <f t="shared" si="9"/>
        <v>310</v>
      </c>
      <c r="K70" s="195"/>
      <c r="L70" s="27">
        <f t="shared" si="8"/>
        <v>371.46221437821924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3931769</v>
      </c>
      <c r="E71" s="1">
        <v>3944718</v>
      </c>
      <c r="F71" s="41">
        <v>11.894</v>
      </c>
      <c r="G71" s="22">
        <f t="shared" si="5"/>
        <v>45.988462492474419</v>
      </c>
      <c r="H71" s="45">
        <f t="shared" si="6"/>
        <v>7.2380511030837917</v>
      </c>
      <c r="I71" s="42">
        <f t="shared" si="7"/>
        <v>53.22651359555821</v>
      </c>
      <c r="J71" s="30">
        <f t="shared" si="9"/>
        <v>310</v>
      </c>
      <c r="K71" s="195"/>
      <c r="L71" s="27">
        <f t="shared" si="8"/>
        <v>363.22651359555823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3168554</v>
      </c>
      <c r="E72" s="1">
        <v>3184528</v>
      </c>
      <c r="F72" s="41">
        <v>16.958000000000002</v>
      </c>
      <c r="G72" s="22">
        <f t="shared" si="5"/>
        <v>65.568551113786896</v>
      </c>
      <c r="H72" s="45">
        <f t="shared" si="6"/>
        <v>7.2380511030837917</v>
      </c>
      <c r="I72" s="42">
        <f t="shared" si="7"/>
        <v>72.806602216870687</v>
      </c>
      <c r="J72" s="30">
        <f t="shared" si="9"/>
        <v>310</v>
      </c>
      <c r="K72" s="195"/>
      <c r="L72" s="27">
        <f t="shared" si="8"/>
        <v>382.80660221687071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3516001</v>
      </c>
      <c r="E73" s="1">
        <v>3523050</v>
      </c>
      <c r="F73" s="41">
        <v>13.040000000000001</v>
      </c>
      <c r="G73" s="22">
        <f t="shared" si="5"/>
        <v>50.41950150511741</v>
      </c>
      <c r="H73" s="45">
        <f t="shared" si="6"/>
        <v>7.2380511030837917</v>
      </c>
      <c r="I73" s="42">
        <f t="shared" si="7"/>
        <v>57.6575526082012</v>
      </c>
      <c r="J73" s="30">
        <f t="shared" si="9"/>
        <v>310</v>
      </c>
      <c r="K73" s="195"/>
      <c r="L73" s="27">
        <f t="shared" si="8"/>
        <v>367.65755260820117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1505584</v>
      </c>
      <c r="E74" s="1">
        <v>1519825</v>
      </c>
      <c r="F74" s="41">
        <v>13.132</v>
      </c>
      <c r="G74" s="22">
        <f t="shared" si="5"/>
        <v>50.775221914509338</v>
      </c>
      <c r="H74" s="45">
        <f t="shared" si="6"/>
        <v>7.2380511030837917</v>
      </c>
      <c r="I74" s="42">
        <f t="shared" si="7"/>
        <v>58.013273017593129</v>
      </c>
      <c r="J74" s="30">
        <f t="shared" si="9"/>
        <v>310</v>
      </c>
      <c r="K74" s="195"/>
      <c r="L74" s="27">
        <f t="shared" si="8"/>
        <v>368.01327301759312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4800988</v>
      </c>
      <c r="E75" s="1">
        <v>4818605</v>
      </c>
      <c r="F75" s="41">
        <v>17.238</v>
      </c>
      <c r="G75" s="22">
        <f t="shared" si="5"/>
        <v>66.651178446718845</v>
      </c>
      <c r="H75" s="45">
        <f t="shared" si="6"/>
        <v>7.2380511030837917</v>
      </c>
      <c r="I75" s="42">
        <f t="shared" si="7"/>
        <v>73.889229549802636</v>
      </c>
      <c r="J75" s="30">
        <f t="shared" si="9"/>
        <v>310</v>
      </c>
      <c r="K75" s="195"/>
      <c r="L75" s="27">
        <f t="shared" si="8"/>
        <v>383.88922954980262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2982691</v>
      </c>
      <c r="E76" s="1">
        <v>3005932</v>
      </c>
      <c r="F76" s="41">
        <v>25.054000000000002</v>
      </c>
      <c r="G76" s="22">
        <f t="shared" si="5"/>
        <v>96.871947140276959</v>
      </c>
      <c r="H76" s="45">
        <f t="shared" si="6"/>
        <v>7.2380511030837917</v>
      </c>
      <c r="I76" s="42">
        <f t="shared" si="7"/>
        <v>104.10999824336075</v>
      </c>
      <c r="J76" s="30">
        <f t="shared" si="9"/>
        <v>310</v>
      </c>
      <c r="K76" s="195"/>
      <c r="L76" s="27">
        <f t="shared" si="8"/>
        <v>414.10999824336074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2770221</v>
      </c>
      <c r="E77" s="1">
        <v>2797754</v>
      </c>
      <c r="F77" s="41">
        <v>24.137</v>
      </c>
      <c r="G77" s="22">
        <f t="shared" si="5"/>
        <v>93.326342624924763</v>
      </c>
      <c r="H77" s="45">
        <f t="shared" si="6"/>
        <v>7.2380511030837917</v>
      </c>
      <c r="I77" s="42">
        <f t="shared" si="7"/>
        <v>100.56439372800855</v>
      </c>
      <c r="J77" s="30">
        <f t="shared" si="9"/>
        <v>310</v>
      </c>
      <c r="K77" s="195"/>
      <c r="L77" s="27">
        <f t="shared" si="8"/>
        <v>410.56439372800855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2806004</v>
      </c>
      <c r="E78" s="1">
        <v>2823088</v>
      </c>
      <c r="F78" s="41">
        <v>16.144000000000002</v>
      </c>
      <c r="G78" s="22">
        <f t="shared" si="5"/>
        <v>62.421198795906093</v>
      </c>
      <c r="H78" s="45">
        <f t="shared" si="6"/>
        <v>7.2380511030837917</v>
      </c>
      <c r="I78" s="42">
        <f t="shared" si="7"/>
        <v>69.659249898989884</v>
      </c>
      <c r="J78" s="30">
        <f t="shared" si="9"/>
        <v>310</v>
      </c>
      <c r="K78" s="195"/>
      <c r="L78" s="27">
        <f t="shared" si="8"/>
        <v>379.65924989898986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4804949</v>
      </c>
      <c r="E79" s="1">
        <v>4839591</v>
      </c>
      <c r="F79" s="41">
        <v>39.423999999999999</v>
      </c>
      <c r="G79" s="22">
        <f t="shared" si="5"/>
        <v>152.43392847682122</v>
      </c>
      <c r="H79" s="45">
        <f t="shared" si="6"/>
        <v>7.2380511030837917</v>
      </c>
      <c r="I79" s="42">
        <f t="shared" si="7"/>
        <v>159.67197957990501</v>
      </c>
      <c r="J79" s="30">
        <f t="shared" si="9"/>
        <v>310</v>
      </c>
      <c r="K79" s="195"/>
      <c r="L79" s="27">
        <f t="shared" si="8"/>
        <v>469.67197957990504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4985943</v>
      </c>
      <c r="E80" s="1">
        <v>5007731</v>
      </c>
      <c r="F80" s="41">
        <v>16.724</v>
      </c>
      <c r="G80" s="22">
        <f t="shared" si="5"/>
        <v>64.663783985550879</v>
      </c>
      <c r="H80" s="45">
        <f t="shared" si="6"/>
        <v>7.2380511030837917</v>
      </c>
      <c r="I80" s="42">
        <f t="shared" si="7"/>
        <v>71.90183508863467</v>
      </c>
      <c r="J80" s="30">
        <f t="shared" si="9"/>
        <v>310</v>
      </c>
      <c r="K80" s="195"/>
      <c r="L80" s="27">
        <f t="shared" si="8"/>
        <v>381.9018350886347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3205434</v>
      </c>
      <c r="E81" s="1">
        <v>3221289</v>
      </c>
      <c r="F81" s="41">
        <v>15.327</v>
      </c>
      <c r="G81" s="22">
        <f t="shared" si="5"/>
        <v>59.262246899458162</v>
      </c>
      <c r="H81" s="45">
        <f t="shared" si="6"/>
        <v>7.2380511030837917</v>
      </c>
      <c r="I81" s="42">
        <f t="shared" si="7"/>
        <v>66.500298002541953</v>
      </c>
      <c r="J81" s="30">
        <f t="shared" si="9"/>
        <v>310</v>
      </c>
      <c r="K81" s="195"/>
      <c r="L81" s="27">
        <f t="shared" si="8"/>
        <v>376.50029800254197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3577963</v>
      </c>
      <c r="E82" s="1">
        <v>3602773</v>
      </c>
      <c r="F82" s="41">
        <v>26.812999999999999</v>
      </c>
      <c r="G82" s="22">
        <f t="shared" si="5"/>
        <v>103.67316670680314</v>
      </c>
      <c r="H82" s="45">
        <f t="shared" si="6"/>
        <v>7.2380511030837917</v>
      </c>
      <c r="I82" s="42">
        <f t="shared" si="7"/>
        <v>110.91121780988694</v>
      </c>
      <c r="J82" s="30">
        <f t="shared" si="9"/>
        <v>310</v>
      </c>
      <c r="K82" s="195"/>
      <c r="L82" s="27">
        <f t="shared" si="8"/>
        <v>420.91121780988692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4905286</v>
      </c>
      <c r="E83" s="1">
        <v>4939457</v>
      </c>
      <c r="F83" s="41">
        <v>41.322000000000003</v>
      </c>
      <c r="G83" s="22">
        <f t="shared" si="5"/>
        <v>159.77259518362436</v>
      </c>
      <c r="H83" s="45">
        <f t="shared" si="6"/>
        <v>7.2380511030837917</v>
      </c>
      <c r="I83" s="42">
        <f t="shared" si="7"/>
        <v>167.01064628670815</v>
      </c>
      <c r="J83" s="30">
        <f t="shared" si="9"/>
        <v>310</v>
      </c>
      <c r="K83" s="195"/>
      <c r="L83" s="27">
        <f t="shared" si="8"/>
        <v>477.01064628670815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1909224</v>
      </c>
      <c r="E84" s="1">
        <v>1929399</v>
      </c>
      <c r="F84" s="41">
        <v>20.471</v>
      </c>
      <c r="G84" s="22">
        <f t="shared" si="5"/>
        <v>79.151657615894052</v>
      </c>
      <c r="H84" s="45">
        <f t="shared" si="6"/>
        <v>7.2380511030837917</v>
      </c>
      <c r="I84" s="42">
        <f t="shared" si="7"/>
        <v>86.389708718977843</v>
      </c>
      <c r="J84" s="30">
        <f t="shared" si="9"/>
        <v>310</v>
      </c>
      <c r="K84" s="195"/>
      <c r="L84" s="27">
        <f t="shared" si="8"/>
        <v>396.38970871897783</v>
      </c>
    </row>
    <row r="85" spans="1:12" ht="15" customHeight="1" x14ac:dyDescent="0.45">
      <c r="A85" s="318"/>
      <c r="B85" s="5" t="s">
        <v>7</v>
      </c>
      <c r="C85" s="2">
        <v>103</v>
      </c>
      <c r="D85" s="1">
        <v>3042011</v>
      </c>
      <c r="E85" s="1">
        <v>3046085</v>
      </c>
      <c r="F85" s="41">
        <v>4.3460000000000001</v>
      </c>
      <c r="G85" s="22">
        <f t="shared" si="5"/>
        <v>16.803922817579775</v>
      </c>
      <c r="H85" s="45">
        <f t="shared" si="6"/>
        <v>7.2380511030837917</v>
      </c>
      <c r="I85" s="42">
        <f t="shared" si="7"/>
        <v>24.041973920663565</v>
      </c>
      <c r="J85" s="30">
        <f t="shared" si="9"/>
        <v>310</v>
      </c>
      <c r="K85" s="195"/>
      <c r="L85" s="27">
        <f t="shared" si="8"/>
        <v>334.04197392066357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2676176</v>
      </c>
      <c r="E86" s="1">
        <v>2692273</v>
      </c>
      <c r="F86" s="41">
        <v>16.814</v>
      </c>
      <c r="G86" s="22">
        <f t="shared" si="5"/>
        <v>65.011771342564728</v>
      </c>
      <c r="H86" s="45">
        <f t="shared" si="6"/>
        <v>7.2380511030837917</v>
      </c>
      <c r="I86" s="42">
        <f t="shared" si="7"/>
        <v>72.249822445648519</v>
      </c>
      <c r="J86" s="30">
        <f t="shared" si="9"/>
        <v>310</v>
      </c>
      <c r="K86" s="195"/>
      <c r="L86" s="27">
        <f t="shared" si="8"/>
        <v>382.24982244564853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5288485</v>
      </c>
      <c r="E87" s="1">
        <v>5322008</v>
      </c>
      <c r="F87" s="41">
        <v>34.271000000000001</v>
      </c>
      <c r="G87" s="22">
        <f t="shared" si="5"/>
        <v>132.50971902468393</v>
      </c>
      <c r="H87" s="45">
        <f t="shared" si="6"/>
        <v>7.2380511030837917</v>
      </c>
      <c r="I87" s="42">
        <f t="shared" si="7"/>
        <v>139.74777012776772</v>
      </c>
      <c r="J87" s="30">
        <f t="shared" si="9"/>
        <v>310</v>
      </c>
      <c r="K87" s="195"/>
      <c r="L87" s="27">
        <f t="shared" si="8"/>
        <v>449.74777012776769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28624</v>
      </c>
      <c r="E88" s="1">
        <v>28624</v>
      </c>
      <c r="F88" s="41">
        <v>2.88</v>
      </c>
      <c r="G88" s="22">
        <f t="shared" si="5"/>
        <v>11.135595424443107</v>
      </c>
      <c r="H88" s="45">
        <f t="shared" si="6"/>
        <v>7.2380511030837917</v>
      </c>
      <c r="I88" s="42">
        <f t="shared" si="7"/>
        <v>18.373646527526898</v>
      </c>
      <c r="J88" s="30">
        <f t="shared" si="9"/>
        <v>310</v>
      </c>
      <c r="K88" s="195"/>
      <c r="L88" s="27">
        <f t="shared" si="8"/>
        <v>328.37364652752689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4609231</v>
      </c>
      <c r="E89" s="1">
        <v>4639027</v>
      </c>
      <c r="F89" s="41">
        <v>27.869</v>
      </c>
      <c r="G89" s="22">
        <f t="shared" si="5"/>
        <v>107.75621836243228</v>
      </c>
      <c r="H89" s="45">
        <f t="shared" si="6"/>
        <v>7.2380511030837917</v>
      </c>
      <c r="I89" s="42">
        <f t="shared" si="7"/>
        <v>114.99426946551607</v>
      </c>
      <c r="J89" s="30">
        <f t="shared" si="9"/>
        <v>310</v>
      </c>
      <c r="K89" s="195"/>
      <c r="L89" s="27">
        <f t="shared" si="8"/>
        <v>424.99426946551608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133170</v>
      </c>
      <c r="E90" s="1">
        <v>133185</v>
      </c>
      <c r="F90" s="41">
        <v>0.17</v>
      </c>
      <c r="G90" s="22">
        <f t="shared" si="5"/>
        <v>0.65730945213726688</v>
      </c>
      <c r="H90" s="45">
        <f t="shared" si="6"/>
        <v>7.2380511030837917</v>
      </c>
      <c r="I90" s="42">
        <f t="shared" si="7"/>
        <v>7.8953605552210586</v>
      </c>
      <c r="J90" s="30">
        <f t="shared" si="9"/>
        <v>310</v>
      </c>
      <c r="K90" s="195"/>
      <c r="L90" s="27">
        <f t="shared" si="8"/>
        <v>317.89536055522103</v>
      </c>
    </row>
    <row r="91" spans="1:12" ht="15" customHeight="1" x14ac:dyDescent="0.45">
      <c r="A91" s="318"/>
      <c r="B91" s="5" t="s">
        <v>7</v>
      </c>
      <c r="C91" s="2">
        <v>301</v>
      </c>
      <c r="D91" s="1">
        <v>5108650</v>
      </c>
      <c r="E91" s="1">
        <v>5133337</v>
      </c>
      <c r="F91" s="41">
        <v>25.01</v>
      </c>
      <c r="G91" s="22">
        <f t="shared" si="5"/>
        <v>96.701819987959084</v>
      </c>
      <c r="H91" s="45">
        <f t="shared" si="6"/>
        <v>7.2380511030837917</v>
      </c>
      <c r="I91" s="42">
        <f t="shared" si="7"/>
        <v>103.93987109104287</v>
      </c>
      <c r="J91" s="30">
        <f t="shared" si="9"/>
        <v>310</v>
      </c>
      <c r="K91" s="195">
        <v>10</v>
      </c>
      <c r="L91" s="27">
        <f t="shared" si="8"/>
        <v>423.93987109104285</v>
      </c>
    </row>
    <row r="92" spans="1:12" ht="15" customHeight="1" x14ac:dyDescent="0.45">
      <c r="A92" s="318"/>
      <c r="B92" s="5" t="s">
        <v>7</v>
      </c>
      <c r="C92" s="2">
        <v>302</v>
      </c>
      <c r="D92" s="1">
        <v>102343</v>
      </c>
      <c r="E92" s="1">
        <v>136645</v>
      </c>
      <c r="F92" s="41">
        <v>33.375</v>
      </c>
      <c r="G92" s="22">
        <f t="shared" si="5"/>
        <v>129.04531155930164</v>
      </c>
      <c r="H92" s="45">
        <f t="shared" si="6"/>
        <v>7.2380511030837917</v>
      </c>
      <c r="I92" s="42">
        <f t="shared" si="7"/>
        <v>136.28336266238543</v>
      </c>
      <c r="J92" s="30">
        <f t="shared" si="9"/>
        <v>310</v>
      </c>
      <c r="K92" s="195"/>
      <c r="L92" s="27">
        <f t="shared" si="8"/>
        <v>446.28336266238546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4948274</v>
      </c>
      <c r="E93" s="1">
        <v>4976347</v>
      </c>
      <c r="F93" s="41">
        <v>39.968000000000004</v>
      </c>
      <c r="G93" s="22">
        <f t="shared" si="5"/>
        <v>154.53731872366049</v>
      </c>
      <c r="H93" s="45">
        <f t="shared" si="6"/>
        <v>7.2380511030837917</v>
      </c>
      <c r="I93" s="42">
        <f t="shared" si="7"/>
        <v>161.77536982674428</v>
      </c>
      <c r="J93" s="30">
        <f t="shared" si="9"/>
        <v>310</v>
      </c>
      <c r="K93" s="195">
        <v>10</v>
      </c>
      <c r="L93" s="27">
        <f t="shared" si="8"/>
        <v>481.77536982674428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2499505</v>
      </c>
      <c r="E94" s="1">
        <v>2506922</v>
      </c>
      <c r="F94" s="41">
        <v>10.620000000000001</v>
      </c>
      <c r="G94" s="22">
        <f t="shared" si="5"/>
        <v>41.062508127633961</v>
      </c>
      <c r="H94" s="45">
        <f t="shared" si="6"/>
        <v>7.2380511030837917</v>
      </c>
      <c r="I94" s="42">
        <f t="shared" si="7"/>
        <v>48.300559230717752</v>
      </c>
      <c r="J94" s="30">
        <f t="shared" si="9"/>
        <v>310</v>
      </c>
      <c r="K94" s="195"/>
      <c r="L94" s="27">
        <f t="shared" si="8"/>
        <v>358.30055923071774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3886304</v>
      </c>
      <c r="E95" s="1">
        <v>3908647</v>
      </c>
      <c r="F95" s="41">
        <v>21.137</v>
      </c>
      <c r="G95" s="22">
        <f t="shared" si="5"/>
        <v>81.726764057796515</v>
      </c>
      <c r="H95" s="45">
        <f t="shared" si="6"/>
        <v>7.2380511030837917</v>
      </c>
      <c r="I95" s="42">
        <f t="shared" si="7"/>
        <v>88.964815160880306</v>
      </c>
      <c r="J95" s="30">
        <f t="shared" si="9"/>
        <v>310</v>
      </c>
      <c r="K95" s="195"/>
      <c r="L95" s="27">
        <f t="shared" si="8"/>
        <v>398.96481516088033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3335356</v>
      </c>
      <c r="E96" s="1">
        <v>3351903</v>
      </c>
      <c r="F96" s="41">
        <v>15.886000000000001</v>
      </c>
      <c r="G96" s="22">
        <f t="shared" si="5"/>
        <v>61.42363503913306</v>
      </c>
      <c r="H96" s="45">
        <f t="shared" si="6"/>
        <v>7.2380511030837917</v>
      </c>
      <c r="I96" s="42">
        <f t="shared" si="7"/>
        <v>68.661686142216851</v>
      </c>
      <c r="J96" s="30">
        <f t="shared" si="9"/>
        <v>310</v>
      </c>
      <c r="K96" s="195"/>
      <c r="L96" s="27">
        <f t="shared" si="8"/>
        <v>378.66168614221687</v>
      </c>
    </row>
    <row r="97" spans="1:12" ht="15" customHeight="1" x14ac:dyDescent="0.45">
      <c r="A97" s="318"/>
      <c r="B97" s="5" t="s">
        <v>7</v>
      </c>
      <c r="C97" s="2">
        <v>403</v>
      </c>
      <c r="D97" s="1">
        <v>3043031</v>
      </c>
      <c r="E97" s="1">
        <v>3054381</v>
      </c>
      <c r="F97" s="41">
        <v>10.394</v>
      </c>
      <c r="G97" s="22">
        <f t="shared" si="5"/>
        <v>40.188673208910302</v>
      </c>
      <c r="H97" s="45">
        <f t="shared" si="6"/>
        <v>7.2380511030837917</v>
      </c>
      <c r="I97" s="42">
        <f t="shared" si="7"/>
        <v>47.426724311994093</v>
      </c>
      <c r="J97" s="30">
        <f t="shared" si="9"/>
        <v>310</v>
      </c>
      <c r="K97" s="195"/>
      <c r="L97" s="27">
        <f t="shared" si="8"/>
        <v>357.42672431199412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3245123</v>
      </c>
      <c r="E98" s="1">
        <v>3260403</v>
      </c>
      <c r="F98" s="41">
        <v>18.359000000000002</v>
      </c>
      <c r="G98" s="22">
        <f t="shared" si="5"/>
        <v>70.985554304635784</v>
      </c>
      <c r="H98" s="45">
        <f t="shared" si="6"/>
        <v>7.2380511030837917</v>
      </c>
      <c r="I98" s="42">
        <f t="shared" si="7"/>
        <v>78.223605407719575</v>
      </c>
      <c r="J98" s="30">
        <f t="shared" si="9"/>
        <v>310</v>
      </c>
      <c r="K98" s="195"/>
      <c r="L98" s="27">
        <f t="shared" si="8"/>
        <v>388.22360540771956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2818092</v>
      </c>
      <c r="E99" s="1">
        <v>2835629</v>
      </c>
      <c r="F99" s="41">
        <v>18.187000000000001</v>
      </c>
      <c r="G99" s="22">
        <f t="shared" si="5"/>
        <v>70.320511800120428</v>
      </c>
      <c r="H99" s="45">
        <f t="shared" si="6"/>
        <v>7.2380511030837917</v>
      </c>
      <c r="I99" s="42">
        <f t="shared" si="7"/>
        <v>77.558562903204219</v>
      </c>
      <c r="J99" s="30">
        <f t="shared" si="9"/>
        <v>310</v>
      </c>
      <c r="K99" s="195"/>
      <c r="L99" s="27">
        <f t="shared" si="8"/>
        <v>387.55856290320423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2561795</v>
      </c>
      <c r="E100" s="1">
        <v>2575020</v>
      </c>
      <c r="F100" s="41">
        <v>9.072000000000001</v>
      </c>
      <c r="G100" s="22">
        <f t="shared" si="5"/>
        <v>35.077125586995791</v>
      </c>
      <c r="H100" s="45">
        <f t="shared" si="6"/>
        <v>7.2380511030837917</v>
      </c>
      <c r="I100" s="42">
        <f t="shared" si="7"/>
        <v>42.315176690079582</v>
      </c>
      <c r="J100" s="30">
        <f t="shared" si="9"/>
        <v>310</v>
      </c>
      <c r="K100" s="195"/>
      <c r="L100" s="27">
        <f t="shared" si="8"/>
        <v>352.31517669007957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3199775</v>
      </c>
      <c r="E101" s="1">
        <v>3218139</v>
      </c>
      <c r="F101" s="41">
        <v>18.227</v>
      </c>
      <c r="G101" s="22">
        <f t="shared" si="5"/>
        <v>70.475172847682131</v>
      </c>
      <c r="H101" s="45">
        <f t="shared" si="6"/>
        <v>7.2380511030837917</v>
      </c>
      <c r="I101" s="42">
        <f t="shared" si="7"/>
        <v>77.713223950765922</v>
      </c>
      <c r="J101" s="30">
        <f t="shared" si="9"/>
        <v>310</v>
      </c>
      <c r="K101" s="195">
        <v>10</v>
      </c>
      <c r="L101" s="27">
        <f t="shared" si="8"/>
        <v>397.71322395076595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4180685</v>
      </c>
      <c r="E102" s="1">
        <v>4201937</v>
      </c>
      <c r="F102" s="41">
        <v>20.597999999999999</v>
      </c>
      <c r="G102" s="22">
        <f t="shared" si="5"/>
        <v>79.642706441902476</v>
      </c>
      <c r="H102" s="45">
        <f t="shared" si="6"/>
        <v>7.2380511030837917</v>
      </c>
      <c r="I102" s="42">
        <f t="shared" si="7"/>
        <v>86.880757544986267</v>
      </c>
      <c r="J102" s="30">
        <f t="shared" si="9"/>
        <v>310</v>
      </c>
      <c r="K102" s="195"/>
      <c r="L102" s="27">
        <f t="shared" si="8"/>
        <v>396.8807575449863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3884964</v>
      </c>
      <c r="E103" s="1">
        <v>3916862</v>
      </c>
      <c r="F103" s="41">
        <v>28.512</v>
      </c>
      <c r="G103" s="22">
        <f t="shared" si="5"/>
        <v>110.24239470198677</v>
      </c>
      <c r="H103" s="45">
        <f t="shared" si="6"/>
        <v>7.2380511030837917</v>
      </c>
      <c r="I103" s="42">
        <f t="shared" si="7"/>
        <v>117.48044580507056</v>
      </c>
      <c r="J103" s="30">
        <f t="shared" si="9"/>
        <v>310</v>
      </c>
      <c r="K103" s="195"/>
      <c r="L103" s="27">
        <f t="shared" si="8"/>
        <v>427.48044580507053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162646</v>
      </c>
      <c r="E104" s="1">
        <v>165086</v>
      </c>
      <c r="F104" s="41">
        <v>24.080000000000002</v>
      </c>
      <c r="G104" s="22">
        <f t="shared" si="5"/>
        <v>93.10595063214933</v>
      </c>
      <c r="H104" s="45">
        <f t="shared" si="6"/>
        <v>7.2380511030837917</v>
      </c>
      <c r="I104" s="42">
        <f t="shared" si="7"/>
        <v>100.34400173523312</v>
      </c>
      <c r="J104" s="30">
        <f t="shared" si="9"/>
        <v>310</v>
      </c>
      <c r="K104" s="195"/>
      <c r="L104" s="27">
        <f t="shared" si="8"/>
        <v>410.34400173523312</v>
      </c>
    </row>
    <row r="105" spans="1:12" ht="15" customHeight="1" x14ac:dyDescent="0.45">
      <c r="A105" s="314"/>
      <c r="B105" s="159" t="s">
        <v>8</v>
      </c>
      <c r="C105" s="2">
        <v>103</v>
      </c>
      <c r="D105" s="1">
        <v>118858</v>
      </c>
      <c r="E105" s="1">
        <v>148021</v>
      </c>
      <c r="F105" s="41">
        <v>18.190000000000001</v>
      </c>
      <c r="G105" s="22">
        <f t="shared" si="5"/>
        <v>70.332111378687557</v>
      </c>
      <c r="H105" s="45">
        <f t="shared" si="6"/>
        <v>7.2380511030837917</v>
      </c>
      <c r="I105" s="42">
        <f t="shared" si="7"/>
        <v>77.570162481771348</v>
      </c>
      <c r="J105" s="30">
        <f t="shared" si="9"/>
        <v>310</v>
      </c>
      <c r="K105" s="195"/>
      <c r="L105" s="27">
        <f t="shared" si="8"/>
        <v>387.57016248177138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443956</v>
      </c>
      <c r="E106" s="1">
        <v>443970</v>
      </c>
      <c r="F106" s="41">
        <v>4.3999999999999997E-2</v>
      </c>
      <c r="G106" s="22">
        <f t="shared" si="5"/>
        <v>0.17012715231788081</v>
      </c>
      <c r="H106" s="45">
        <f t="shared" si="6"/>
        <v>7.2380511030837917</v>
      </c>
      <c r="I106" s="42">
        <f t="shared" si="7"/>
        <v>7.4081782554016726</v>
      </c>
      <c r="J106" s="30">
        <f t="shared" si="9"/>
        <v>310</v>
      </c>
      <c r="K106" s="195"/>
      <c r="L106" s="27">
        <f t="shared" si="8"/>
        <v>317.40817825540165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11777</v>
      </c>
      <c r="E107" s="1">
        <v>11999</v>
      </c>
      <c r="F107" s="41">
        <v>0</v>
      </c>
      <c r="G107" s="22">
        <f t="shared" si="5"/>
        <v>0</v>
      </c>
      <c r="H107" s="45">
        <f t="shared" si="6"/>
        <v>7.2380511030837917</v>
      </c>
      <c r="I107" s="42">
        <f t="shared" si="7"/>
        <v>7.2380511030837917</v>
      </c>
      <c r="J107" s="30">
        <f t="shared" si="9"/>
        <v>310</v>
      </c>
      <c r="K107" s="195"/>
      <c r="L107" s="27">
        <f t="shared" si="8"/>
        <v>317.23805110308382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187733</v>
      </c>
      <c r="E108" s="1">
        <v>210357</v>
      </c>
      <c r="F108" s="41">
        <v>19.056000000000001</v>
      </c>
      <c r="G108" s="22">
        <f t="shared" si="5"/>
        <v>73.680523058398563</v>
      </c>
      <c r="H108" s="45">
        <f t="shared" si="6"/>
        <v>7.2380511030837917</v>
      </c>
      <c r="I108" s="42">
        <f t="shared" si="7"/>
        <v>80.918574161482354</v>
      </c>
      <c r="J108" s="30">
        <f t="shared" si="9"/>
        <v>310</v>
      </c>
      <c r="K108" s="195"/>
      <c r="L108" s="27">
        <f t="shared" si="8"/>
        <v>390.91857416148235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3614583</v>
      </c>
      <c r="E109" s="1">
        <v>3629922</v>
      </c>
      <c r="F109" s="41">
        <v>10.394</v>
      </c>
      <c r="G109" s="22">
        <f t="shared" si="5"/>
        <v>40.188673208910302</v>
      </c>
      <c r="H109" s="45">
        <f t="shared" si="6"/>
        <v>7.2380511030837917</v>
      </c>
      <c r="I109" s="42">
        <f t="shared" si="7"/>
        <v>47.426724311994093</v>
      </c>
      <c r="J109" s="30">
        <f t="shared" si="9"/>
        <v>310</v>
      </c>
      <c r="K109" s="195"/>
      <c r="L109" s="27">
        <f t="shared" si="8"/>
        <v>357.42672431199412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1970934</v>
      </c>
      <c r="E110" s="1">
        <v>1985916</v>
      </c>
      <c r="F110" s="41">
        <v>13.236000000000001</v>
      </c>
      <c r="G110" s="22">
        <f t="shared" si="5"/>
        <v>51.177340638169788</v>
      </c>
      <c r="H110" s="45">
        <f t="shared" si="6"/>
        <v>7.2380511030837917</v>
      </c>
      <c r="I110" s="42">
        <f t="shared" si="7"/>
        <v>58.415391741253579</v>
      </c>
      <c r="J110" s="30">
        <f t="shared" si="9"/>
        <v>310</v>
      </c>
      <c r="K110" s="195"/>
      <c r="L110" s="27">
        <f t="shared" si="8"/>
        <v>368.41539174125359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3681520</v>
      </c>
      <c r="E111" s="1">
        <v>3689463</v>
      </c>
      <c r="F111" s="41">
        <v>12.905000000000001</v>
      </c>
      <c r="G111" s="22">
        <f t="shared" si="5"/>
        <v>49.897520469596643</v>
      </c>
      <c r="H111" s="45">
        <f t="shared" si="6"/>
        <v>7.2380511030837917</v>
      </c>
      <c r="I111" s="42">
        <f t="shared" si="7"/>
        <v>57.135571572680433</v>
      </c>
      <c r="J111" s="30">
        <f t="shared" si="9"/>
        <v>310</v>
      </c>
      <c r="K111" s="195"/>
      <c r="L111" s="27">
        <f t="shared" si="8"/>
        <v>367.13557157268042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3363030</v>
      </c>
      <c r="E112" s="1">
        <v>3370131</v>
      </c>
      <c r="F112" s="41">
        <v>8.0289999999999999</v>
      </c>
      <c r="G112" s="22">
        <f t="shared" si="5"/>
        <v>31.044338771824204</v>
      </c>
      <c r="H112" s="45">
        <f t="shared" si="6"/>
        <v>7.2380511030837917</v>
      </c>
      <c r="I112" s="42">
        <f t="shared" si="7"/>
        <v>38.282389874907999</v>
      </c>
      <c r="J112" s="30">
        <f t="shared" si="9"/>
        <v>310</v>
      </c>
      <c r="K112" s="195"/>
      <c r="L112" s="27">
        <f t="shared" si="8"/>
        <v>348.28238987490801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3750427</v>
      </c>
      <c r="E113" s="1">
        <v>3785378</v>
      </c>
      <c r="F113" s="41">
        <v>37.521000000000001</v>
      </c>
      <c r="G113" s="22">
        <f t="shared" si="5"/>
        <v>145.07592913907285</v>
      </c>
      <c r="H113" s="45">
        <f t="shared" si="6"/>
        <v>7.2380511030837917</v>
      </c>
      <c r="I113" s="42">
        <f t="shared" si="7"/>
        <v>152.31398024215665</v>
      </c>
      <c r="J113" s="30">
        <f t="shared" si="9"/>
        <v>310</v>
      </c>
      <c r="K113" s="195"/>
      <c r="L113" s="27">
        <f t="shared" si="8"/>
        <v>462.31398024215662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68463</v>
      </c>
      <c r="E114" s="1">
        <v>95883</v>
      </c>
      <c r="F114" s="41">
        <v>17.97</v>
      </c>
      <c r="G114" s="22">
        <f t="shared" si="5"/>
        <v>69.481475617098141</v>
      </c>
      <c r="H114" s="45">
        <f t="shared" si="6"/>
        <v>7.2380511030837917</v>
      </c>
      <c r="I114" s="42">
        <f t="shared" si="7"/>
        <v>76.719526720181932</v>
      </c>
      <c r="J114" s="30">
        <f t="shared" si="9"/>
        <v>310</v>
      </c>
      <c r="K114" s="195"/>
      <c r="L114" s="27">
        <f t="shared" si="8"/>
        <v>386.71952672018193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2820207</v>
      </c>
      <c r="E115" s="1">
        <v>2835222</v>
      </c>
      <c r="F115" s="41">
        <v>14.896000000000001</v>
      </c>
      <c r="G115" s="22">
        <f t="shared" si="5"/>
        <v>57.595774111980745</v>
      </c>
      <c r="H115" s="45">
        <f t="shared" si="6"/>
        <v>7.2380511030837917</v>
      </c>
      <c r="I115" s="42">
        <f t="shared" si="7"/>
        <v>64.833825215064536</v>
      </c>
      <c r="J115" s="30">
        <f t="shared" si="9"/>
        <v>310</v>
      </c>
      <c r="K115" s="195"/>
      <c r="L115" s="27">
        <f t="shared" si="8"/>
        <v>374.83382521506451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7130</v>
      </c>
      <c r="E116" s="1">
        <v>7412</v>
      </c>
      <c r="F116" s="41">
        <v>0.30599999999999999</v>
      </c>
      <c r="G116" s="22">
        <f t="shared" si="5"/>
        <v>1.1831570138470802</v>
      </c>
      <c r="H116" s="45">
        <f t="shared" si="6"/>
        <v>7.2380511030837917</v>
      </c>
      <c r="I116" s="42">
        <f t="shared" si="7"/>
        <v>8.4212081169308721</v>
      </c>
      <c r="J116" s="30">
        <f t="shared" si="9"/>
        <v>310</v>
      </c>
      <c r="K116" s="195"/>
      <c r="L116" s="27">
        <f t="shared" si="8"/>
        <v>318.42120811693087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535031</v>
      </c>
      <c r="E117" s="1">
        <v>535696</v>
      </c>
      <c r="F117" s="41">
        <v>1.6759999999999999</v>
      </c>
      <c r="G117" s="22">
        <f t="shared" si="5"/>
        <v>6.4802978928356421</v>
      </c>
      <c r="H117" s="45">
        <f t="shared" si="6"/>
        <v>7.2380511030837917</v>
      </c>
      <c r="I117" s="42">
        <f t="shared" si="7"/>
        <v>13.718348995919435</v>
      </c>
      <c r="J117" s="30">
        <f t="shared" si="9"/>
        <v>310</v>
      </c>
      <c r="K117" s="195"/>
      <c r="L117" s="27">
        <f t="shared" si="8"/>
        <v>323.71834899591943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2766348</v>
      </c>
      <c r="E118" s="1">
        <v>2781706</v>
      </c>
      <c r="F118" s="41">
        <v>14.018000000000001</v>
      </c>
      <c r="G118" s="22">
        <f t="shared" si="5"/>
        <v>54.200964118001217</v>
      </c>
      <c r="H118" s="45">
        <f t="shared" si="6"/>
        <v>7.2380511030837917</v>
      </c>
      <c r="I118" s="42">
        <f t="shared" si="7"/>
        <v>61.439015221085008</v>
      </c>
      <c r="J118" s="30">
        <f t="shared" si="9"/>
        <v>310</v>
      </c>
      <c r="K118" s="195">
        <v>10</v>
      </c>
      <c r="L118" s="27">
        <f t="shared" si="8"/>
        <v>381.43901522108501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2837443</v>
      </c>
      <c r="E119" s="1">
        <v>2855337</v>
      </c>
      <c r="F119" s="41">
        <v>28.675000000000001</v>
      </c>
      <c r="G119" s="22">
        <f t="shared" si="5"/>
        <v>110.87263847080074</v>
      </c>
      <c r="H119" s="45">
        <f t="shared" si="6"/>
        <v>7.2380511030837917</v>
      </c>
      <c r="I119" s="42">
        <f t="shared" si="7"/>
        <v>118.11068957388453</v>
      </c>
      <c r="J119" s="30">
        <f t="shared" si="9"/>
        <v>310</v>
      </c>
      <c r="K119" s="195"/>
      <c r="L119" s="27">
        <f t="shared" si="8"/>
        <v>428.11068957388454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5972385</v>
      </c>
      <c r="E120" s="1">
        <v>6005886</v>
      </c>
      <c r="F120" s="41">
        <v>36.792000000000002</v>
      </c>
      <c r="G120" s="22">
        <f t="shared" si="5"/>
        <v>142.25723154726072</v>
      </c>
      <c r="H120" s="45">
        <f t="shared" si="6"/>
        <v>7.2380511030837917</v>
      </c>
      <c r="I120" s="42">
        <f t="shared" si="7"/>
        <v>149.49528265034451</v>
      </c>
      <c r="J120" s="30">
        <f t="shared" si="9"/>
        <v>310</v>
      </c>
      <c r="K120" s="195"/>
      <c r="L120" s="27">
        <f t="shared" si="8"/>
        <v>459.49528265034451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123295</v>
      </c>
      <c r="E121" s="1">
        <v>130522</v>
      </c>
      <c r="F121" s="41">
        <v>17.32</v>
      </c>
      <c r="G121" s="22">
        <f t="shared" si="5"/>
        <v>66.968233594220365</v>
      </c>
      <c r="H121" s="45">
        <f t="shared" si="6"/>
        <v>7.2380511030837917</v>
      </c>
      <c r="I121" s="42">
        <f t="shared" si="7"/>
        <v>74.206284697304156</v>
      </c>
      <c r="J121" s="30">
        <f t="shared" si="9"/>
        <v>310</v>
      </c>
      <c r="K121" s="195"/>
      <c r="L121" s="27">
        <f t="shared" si="8"/>
        <v>384.20628469730417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4393422</v>
      </c>
      <c r="E122" s="1">
        <v>4421064</v>
      </c>
      <c r="F122" s="41">
        <v>29.885999999999999</v>
      </c>
      <c r="G122" s="22">
        <f t="shared" si="5"/>
        <v>115.5550016857315</v>
      </c>
      <c r="H122" s="45">
        <f t="shared" si="6"/>
        <v>7.2380511030837917</v>
      </c>
      <c r="I122" s="42">
        <f t="shared" si="7"/>
        <v>122.79305278881529</v>
      </c>
      <c r="J122" s="30">
        <f t="shared" si="9"/>
        <v>310</v>
      </c>
      <c r="K122" s="195"/>
      <c r="L122" s="27">
        <f t="shared" si="8"/>
        <v>432.79305278881532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65273</v>
      </c>
      <c r="E123" s="1">
        <v>79777</v>
      </c>
      <c r="F123" s="41">
        <v>15.308</v>
      </c>
      <c r="G123" s="22">
        <f t="shared" si="5"/>
        <v>59.188782901866354</v>
      </c>
      <c r="H123" s="45">
        <f t="shared" si="6"/>
        <v>7.2380511030837917</v>
      </c>
      <c r="I123" s="42">
        <f t="shared" si="7"/>
        <v>66.426834004950152</v>
      </c>
      <c r="J123" s="30">
        <f t="shared" si="9"/>
        <v>310</v>
      </c>
      <c r="K123" s="195"/>
      <c r="L123" s="27">
        <f t="shared" si="8"/>
        <v>376.42683400495014</v>
      </c>
    </row>
    <row r="124" spans="1:12" ht="15" customHeight="1" x14ac:dyDescent="0.45">
      <c r="A124" s="318"/>
      <c r="B124" s="159" t="s">
        <v>9</v>
      </c>
      <c r="C124" s="2">
        <v>102</v>
      </c>
      <c r="D124" s="1">
        <v>23913</v>
      </c>
      <c r="E124" s="1">
        <v>24154</v>
      </c>
      <c r="F124" s="41">
        <v>2.56</v>
      </c>
      <c r="G124" s="22">
        <f t="shared" si="5"/>
        <v>9.8983070439494298</v>
      </c>
      <c r="H124" s="45">
        <f t="shared" si="6"/>
        <v>7.2380511030837917</v>
      </c>
      <c r="I124" s="42">
        <f t="shared" si="7"/>
        <v>17.136358147033221</v>
      </c>
      <c r="J124" s="30">
        <f t="shared" si="9"/>
        <v>310</v>
      </c>
      <c r="K124" s="195"/>
      <c r="L124" s="27">
        <f t="shared" si="8"/>
        <v>327.13635814703321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3015880</v>
      </c>
      <c r="E125" s="1">
        <v>3032468</v>
      </c>
      <c r="F125" s="41">
        <v>30.154</v>
      </c>
      <c r="G125" s="22">
        <f t="shared" si="5"/>
        <v>116.59123070439496</v>
      </c>
      <c r="H125" s="45">
        <f t="shared" si="6"/>
        <v>7.2380511030837917</v>
      </c>
      <c r="I125" s="42">
        <f t="shared" si="7"/>
        <v>123.82928180747875</v>
      </c>
      <c r="J125" s="30">
        <f t="shared" si="9"/>
        <v>310</v>
      </c>
      <c r="K125" s="195"/>
      <c r="L125" s="27">
        <f t="shared" si="8"/>
        <v>433.82928180747876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2936211</v>
      </c>
      <c r="E126" s="1">
        <v>2954471</v>
      </c>
      <c r="F126" s="41">
        <v>16.836000000000002</v>
      </c>
      <c r="G126" s="22">
        <f t="shared" si="5"/>
        <v>65.096834918723673</v>
      </c>
      <c r="H126" s="45">
        <f t="shared" si="6"/>
        <v>7.2380511030837917</v>
      </c>
      <c r="I126" s="42">
        <f t="shared" si="7"/>
        <v>72.334886021807463</v>
      </c>
      <c r="J126" s="30">
        <f t="shared" si="9"/>
        <v>310</v>
      </c>
      <c r="K126" s="195"/>
      <c r="L126" s="27">
        <f t="shared" si="8"/>
        <v>382.33488602180745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2651513</v>
      </c>
      <c r="E127" s="1">
        <v>2661468</v>
      </c>
      <c r="F127" s="41">
        <v>13.14</v>
      </c>
      <c r="G127" s="22">
        <f t="shared" si="5"/>
        <v>50.806154124021681</v>
      </c>
      <c r="H127" s="45">
        <f t="shared" si="6"/>
        <v>7.2380511030837917</v>
      </c>
      <c r="I127" s="42">
        <f t="shared" si="7"/>
        <v>58.044205227105472</v>
      </c>
      <c r="J127" s="30">
        <f t="shared" si="9"/>
        <v>310</v>
      </c>
      <c r="K127" s="195"/>
      <c r="L127" s="27">
        <f t="shared" si="8"/>
        <v>368.04420522710546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4797971</v>
      </c>
      <c r="E128" s="1">
        <v>4814696</v>
      </c>
      <c r="F128" s="41">
        <v>17.965</v>
      </c>
      <c r="G128" s="22">
        <f t="shared" si="5"/>
        <v>69.462142986152926</v>
      </c>
      <c r="H128" s="45">
        <f t="shared" si="6"/>
        <v>7.2380511030837917</v>
      </c>
      <c r="I128" s="42">
        <f t="shared" si="7"/>
        <v>76.700194089236717</v>
      </c>
      <c r="J128" s="30">
        <f t="shared" si="9"/>
        <v>310</v>
      </c>
      <c r="K128" s="195"/>
      <c r="L128" s="27">
        <f t="shared" si="8"/>
        <v>386.70019408923673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2054383</v>
      </c>
      <c r="E129" s="1">
        <v>2076116</v>
      </c>
      <c r="F129" s="41">
        <v>10.324</v>
      </c>
      <c r="G129" s="22">
        <f t="shared" si="5"/>
        <v>39.918016375677304</v>
      </c>
      <c r="H129" s="45">
        <f t="shared" si="6"/>
        <v>7.2380511030837917</v>
      </c>
      <c r="I129" s="42">
        <f t="shared" si="7"/>
        <v>47.156067478761095</v>
      </c>
      <c r="J129" s="30">
        <f t="shared" si="9"/>
        <v>310</v>
      </c>
      <c r="K129" s="195"/>
      <c r="L129" s="27">
        <f t="shared" si="8"/>
        <v>357.15606747876109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2943848</v>
      </c>
      <c r="E130" s="1">
        <v>2948850</v>
      </c>
      <c r="F130" s="41">
        <v>5.6680000000000001</v>
      </c>
      <c r="G130" s="22">
        <f t="shared" si="5"/>
        <v>21.915470439494285</v>
      </c>
      <c r="H130" s="45">
        <f t="shared" si="6"/>
        <v>7.2380511030837917</v>
      </c>
      <c r="I130" s="42">
        <f t="shared" si="7"/>
        <v>29.153521542578076</v>
      </c>
      <c r="J130" s="30">
        <f t="shared" si="9"/>
        <v>310</v>
      </c>
      <c r="K130" s="195"/>
      <c r="L130" s="27">
        <f t="shared" si="8"/>
        <v>339.15352154257806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3077524</v>
      </c>
      <c r="E131" s="1">
        <v>3097676</v>
      </c>
      <c r="F131" s="41">
        <v>18.673000000000002</v>
      </c>
      <c r="G131" s="22">
        <f t="shared" si="5"/>
        <v>72.199643527995192</v>
      </c>
      <c r="H131" s="45">
        <f t="shared" si="6"/>
        <v>7.2380511030837917</v>
      </c>
      <c r="I131" s="42">
        <f t="shared" si="7"/>
        <v>79.437694631078983</v>
      </c>
      <c r="J131" s="30">
        <f t="shared" si="9"/>
        <v>310</v>
      </c>
      <c r="K131" s="195"/>
      <c r="L131" s="27">
        <f t="shared" si="8"/>
        <v>389.43769463107901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1889662</v>
      </c>
      <c r="E132" s="1">
        <v>1895130</v>
      </c>
      <c r="F132" s="41">
        <v>4.1079999999999997</v>
      </c>
      <c r="G132" s="22">
        <f t="shared" ref="G132:G183" si="10">MMULT($G$1,1/$F$183)*F132</f>
        <v>15.883689584587598</v>
      </c>
      <c r="H132" s="45">
        <f t="shared" ref="H132:H181" si="11">MMULT($H$1,1/180)</f>
        <v>7.2380511030837917</v>
      </c>
      <c r="I132" s="42">
        <f t="shared" ref="I132:I182" si="12">SUM(G132,H132)</f>
        <v>23.121740687671391</v>
      </c>
      <c r="J132" s="30">
        <f t="shared" si="9"/>
        <v>310</v>
      </c>
      <c r="K132" s="195"/>
      <c r="L132" s="27">
        <f t="shared" ref="L132:L182" si="13">SUM(I132,J132,K132)</f>
        <v>333.12174068767138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3467393</v>
      </c>
      <c r="E133" s="1">
        <v>3482980</v>
      </c>
      <c r="F133" s="41">
        <v>15.636000000000001</v>
      </c>
      <c r="G133" s="22">
        <f t="shared" si="10"/>
        <v>60.457003491872378</v>
      </c>
      <c r="H133" s="45">
        <f t="shared" si="11"/>
        <v>7.2380511030837917</v>
      </c>
      <c r="I133" s="42">
        <f t="shared" si="12"/>
        <v>67.695054594956176</v>
      </c>
      <c r="J133" s="30">
        <f t="shared" ref="J133:J182" si="14">SUM($J$3)</f>
        <v>310</v>
      </c>
      <c r="K133" s="195"/>
      <c r="L133" s="27">
        <f t="shared" si="13"/>
        <v>377.69505459495616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4041094</v>
      </c>
      <c r="E134" s="1">
        <v>4059272</v>
      </c>
      <c r="F134" s="41">
        <v>14.963000000000001</v>
      </c>
      <c r="G134" s="22">
        <f t="shared" si="10"/>
        <v>57.854831366646607</v>
      </c>
      <c r="H134" s="45">
        <f t="shared" si="11"/>
        <v>7.2380511030837917</v>
      </c>
      <c r="I134" s="42">
        <f t="shared" si="12"/>
        <v>65.092882469730398</v>
      </c>
      <c r="J134" s="30">
        <f t="shared" si="14"/>
        <v>310</v>
      </c>
      <c r="K134" s="195"/>
      <c r="L134" s="27">
        <f t="shared" si="13"/>
        <v>375.0928824697304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1934324</v>
      </c>
      <c r="E135" s="1">
        <v>1941874</v>
      </c>
      <c r="F135" s="41">
        <v>8.5289999999999999</v>
      </c>
      <c r="G135" s="22">
        <f t="shared" si="10"/>
        <v>32.97760186634558</v>
      </c>
      <c r="H135" s="45">
        <f t="shared" si="11"/>
        <v>7.2380511030837917</v>
      </c>
      <c r="I135" s="42">
        <f t="shared" si="12"/>
        <v>40.215652969429371</v>
      </c>
      <c r="J135" s="30">
        <f t="shared" si="14"/>
        <v>310</v>
      </c>
      <c r="K135" s="195"/>
      <c r="L135" s="27">
        <f t="shared" si="13"/>
        <v>350.21565296942936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2018302</v>
      </c>
      <c r="E136" s="1">
        <v>2019410</v>
      </c>
      <c r="F136" s="41">
        <v>1.48</v>
      </c>
      <c r="G136" s="22">
        <f t="shared" si="10"/>
        <v>5.7224587597832635</v>
      </c>
      <c r="H136" s="45">
        <f t="shared" si="11"/>
        <v>7.2380511030837917</v>
      </c>
      <c r="I136" s="42">
        <f t="shared" si="12"/>
        <v>12.960509862867056</v>
      </c>
      <c r="J136" s="30">
        <f t="shared" si="14"/>
        <v>310</v>
      </c>
      <c r="K136" s="195"/>
      <c r="L136" s="27">
        <f t="shared" si="13"/>
        <v>322.96050986286707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4554994</v>
      </c>
      <c r="E137" s="1">
        <v>4573849</v>
      </c>
      <c r="F137" s="41">
        <v>20.439</v>
      </c>
      <c r="G137" s="22">
        <f t="shared" si="10"/>
        <v>79.027928777844679</v>
      </c>
      <c r="H137" s="45">
        <f t="shared" si="11"/>
        <v>7.2380511030837917</v>
      </c>
      <c r="I137" s="42">
        <f t="shared" si="12"/>
        <v>86.265979880928469</v>
      </c>
      <c r="J137" s="30">
        <f t="shared" si="14"/>
        <v>310</v>
      </c>
      <c r="K137" s="195"/>
      <c r="L137" s="27">
        <f t="shared" si="13"/>
        <v>396.26597988092846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2506597</v>
      </c>
      <c r="E138" s="1">
        <v>2520679</v>
      </c>
      <c r="F138" s="41">
        <v>16.001999999999999</v>
      </c>
      <c r="G138" s="22">
        <f t="shared" si="10"/>
        <v>61.872152077062012</v>
      </c>
      <c r="H138" s="45">
        <f t="shared" si="11"/>
        <v>7.2380511030837917</v>
      </c>
      <c r="I138" s="42">
        <f t="shared" si="12"/>
        <v>69.110203180145803</v>
      </c>
      <c r="J138" s="30">
        <f t="shared" si="14"/>
        <v>310</v>
      </c>
      <c r="K138" s="195"/>
      <c r="L138" s="27">
        <f t="shared" si="13"/>
        <v>379.11020318014579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3152299</v>
      </c>
      <c r="E139" s="1">
        <v>3165692</v>
      </c>
      <c r="F139" s="41">
        <v>14.06</v>
      </c>
      <c r="G139" s="22">
        <f t="shared" si="10"/>
        <v>54.363358217941006</v>
      </c>
      <c r="H139" s="45">
        <f t="shared" si="11"/>
        <v>7.2380511030837917</v>
      </c>
      <c r="I139" s="42">
        <f t="shared" si="12"/>
        <v>61.601409321024796</v>
      </c>
      <c r="J139" s="30">
        <f t="shared" si="14"/>
        <v>310</v>
      </c>
      <c r="K139" s="195"/>
      <c r="L139" s="27">
        <f t="shared" si="13"/>
        <v>371.60140932102479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3043223</v>
      </c>
      <c r="E140" s="1">
        <v>3048840</v>
      </c>
      <c r="F140" s="41">
        <v>6.2439999999999998</v>
      </c>
      <c r="G140" s="22">
        <f t="shared" si="10"/>
        <v>24.142589524382903</v>
      </c>
      <c r="H140" s="45">
        <f t="shared" si="11"/>
        <v>7.2380511030837917</v>
      </c>
      <c r="I140" s="42">
        <f t="shared" si="12"/>
        <v>31.380640627466693</v>
      </c>
      <c r="J140" s="30">
        <f t="shared" si="14"/>
        <v>310</v>
      </c>
      <c r="K140" s="195"/>
      <c r="L140" s="27">
        <f t="shared" si="13"/>
        <v>341.38064062746668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3024850</v>
      </c>
      <c r="E141" s="1">
        <v>3032856</v>
      </c>
      <c r="F141" s="41">
        <v>9.7219999999999995</v>
      </c>
      <c r="G141" s="22">
        <f t="shared" si="10"/>
        <v>37.590367609873574</v>
      </c>
      <c r="H141" s="45">
        <f t="shared" si="11"/>
        <v>7.2380511030837917</v>
      </c>
      <c r="I141" s="42">
        <f t="shared" si="12"/>
        <v>44.828418712957365</v>
      </c>
      <c r="J141" s="30">
        <f t="shared" si="14"/>
        <v>310</v>
      </c>
      <c r="K141" s="195"/>
      <c r="L141" s="27">
        <f>SUM(I141,J141,K141)</f>
        <v>354.82841871295739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3081712</v>
      </c>
      <c r="E142" s="1">
        <v>3088667</v>
      </c>
      <c r="F142" s="41">
        <v>6.274</v>
      </c>
      <c r="G142" s="22">
        <f t="shared" si="10"/>
        <v>24.258585310054187</v>
      </c>
      <c r="H142" s="45">
        <f t="shared" si="11"/>
        <v>7.2380511030837917</v>
      </c>
      <c r="I142" s="42">
        <f t="shared" si="12"/>
        <v>31.496636413137978</v>
      </c>
      <c r="J142" s="30">
        <f t="shared" si="14"/>
        <v>310</v>
      </c>
      <c r="K142" s="195"/>
      <c r="L142" s="27">
        <f t="shared" si="13"/>
        <v>341.49663641313799</v>
      </c>
    </row>
    <row r="143" spans="1:12" x14ac:dyDescent="0.45">
      <c r="A143" s="314"/>
      <c r="B143" s="5" t="s">
        <v>10</v>
      </c>
      <c r="C143" s="2">
        <v>101</v>
      </c>
      <c r="D143" s="1">
        <v>3762361</v>
      </c>
      <c r="E143" s="1">
        <v>3785576</v>
      </c>
      <c r="F143" s="41">
        <v>23.248000000000001</v>
      </c>
      <c r="G143" s="22">
        <f t="shared" si="10"/>
        <v>89.889000842865755</v>
      </c>
      <c r="H143" s="45">
        <f t="shared" si="11"/>
        <v>7.2380511030837917</v>
      </c>
      <c r="I143" s="42">
        <f t="shared" si="12"/>
        <v>97.127051945949546</v>
      </c>
      <c r="J143" s="30">
        <f t="shared" si="14"/>
        <v>310</v>
      </c>
      <c r="K143" s="195"/>
      <c r="L143" s="27">
        <f t="shared" si="13"/>
        <v>407.12705194594957</v>
      </c>
    </row>
    <row r="144" spans="1:12" x14ac:dyDescent="0.45">
      <c r="A144" s="314"/>
      <c r="B144" s="5" t="s">
        <v>10</v>
      </c>
      <c r="C144" s="2">
        <v>102</v>
      </c>
      <c r="D144" s="1">
        <v>13983</v>
      </c>
      <c r="E144" s="1">
        <v>15604</v>
      </c>
      <c r="F144" s="41">
        <v>2.4279999999999999</v>
      </c>
      <c r="G144" s="22">
        <f t="shared" si="10"/>
        <v>9.3879255869957863</v>
      </c>
      <c r="H144" s="45">
        <f t="shared" si="11"/>
        <v>7.2380511030837917</v>
      </c>
      <c r="I144" s="42">
        <f t="shared" si="12"/>
        <v>16.625976690079579</v>
      </c>
      <c r="J144" s="30">
        <f t="shared" si="14"/>
        <v>310</v>
      </c>
      <c r="K144" s="195"/>
      <c r="L144" s="27">
        <f t="shared" si="13"/>
        <v>326.6259766900796</v>
      </c>
    </row>
    <row r="145" spans="1:12" x14ac:dyDescent="0.45">
      <c r="A145" s="314"/>
      <c r="B145" s="5" t="s">
        <v>10</v>
      </c>
      <c r="C145" s="2">
        <v>103</v>
      </c>
      <c r="D145" s="1">
        <v>3982529</v>
      </c>
      <c r="E145" s="1">
        <v>3990364</v>
      </c>
      <c r="F145" s="41">
        <v>6.2279999999999998</v>
      </c>
      <c r="G145" s="22">
        <f t="shared" si="10"/>
        <v>24.080725105358219</v>
      </c>
      <c r="H145" s="45">
        <f t="shared" si="11"/>
        <v>7.2380511030837917</v>
      </c>
      <c r="I145" s="42">
        <f t="shared" si="12"/>
        <v>31.31877620844201</v>
      </c>
      <c r="J145" s="30">
        <f t="shared" si="14"/>
        <v>310</v>
      </c>
      <c r="K145" s="195"/>
      <c r="L145" s="27">
        <f t="shared" si="13"/>
        <v>341.31877620844199</v>
      </c>
    </row>
    <row r="146" spans="1:12" x14ac:dyDescent="0.45">
      <c r="A146" s="314"/>
      <c r="B146" s="5" t="s">
        <v>10</v>
      </c>
      <c r="C146" s="2">
        <v>104</v>
      </c>
      <c r="D146" s="1">
        <v>3022932</v>
      </c>
      <c r="E146" s="1">
        <v>3042610</v>
      </c>
      <c r="F146" s="41">
        <v>24.810000000000002</v>
      </c>
      <c r="G146" s="22">
        <f t="shared" si="10"/>
        <v>95.928514750150526</v>
      </c>
      <c r="H146" s="45">
        <f t="shared" si="11"/>
        <v>7.2380511030837917</v>
      </c>
      <c r="I146" s="42">
        <f t="shared" si="12"/>
        <v>103.16656585323432</v>
      </c>
      <c r="J146" s="30">
        <f t="shared" si="14"/>
        <v>310</v>
      </c>
      <c r="K146" s="195"/>
      <c r="L146" s="27">
        <f t="shared" si="13"/>
        <v>413.16656585323432</v>
      </c>
    </row>
    <row r="147" spans="1:12" x14ac:dyDescent="0.45">
      <c r="A147" s="314"/>
      <c r="B147" s="5" t="s">
        <v>10</v>
      </c>
      <c r="C147" s="2">
        <v>201</v>
      </c>
      <c r="D147" s="1">
        <v>5480759</v>
      </c>
      <c r="E147" s="1">
        <v>5534579</v>
      </c>
      <c r="F147" s="41">
        <v>41.061</v>
      </c>
      <c r="G147" s="22">
        <f t="shared" si="10"/>
        <v>158.7634318482842</v>
      </c>
      <c r="H147" s="45">
        <f t="shared" si="11"/>
        <v>7.2380511030837917</v>
      </c>
      <c r="I147" s="42">
        <f t="shared" si="12"/>
        <v>166.00148295136799</v>
      </c>
      <c r="J147" s="30">
        <f t="shared" si="14"/>
        <v>310</v>
      </c>
      <c r="K147" s="195"/>
      <c r="L147" s="27">
        <f t="shared" si="13"/>
        <v>476.00148295136796</v>
      </c>
    </row>
    <row r="148" spans="1:12" x14ac:dyDescent="0.45">
      <c r="A148" s="314"/>
      <c r="B148" s="5" t="s">
        <v>10</v>
      </c>
      <c r="C148" s="2">
        <v>202</v>
      </c>
      <c r="D148" s="1">
        <v>3443567</v>
      </c>
      <c r="E148" s="1">
        <v>3461057</v>
      </c>
      <c r="F148" s="41">
        <v>9.2620000000000005</v>
      </c>
      <c r="G148" s="22">
        <f t="shared" si="10"/>
        <v>35.811765562913912</v>
      </c>
      <c r="H148" s="45">
        <f t="shared" si="11"/>
        <v>7.2380511030837917</v>
      </c>
      <c r="I148" s="42">
        <f t="shared" si="12"/>
        <v>43.049816665997703</v>
      </c>
      <c r="J148" s="30">
        <f t="shared" si="14"/>
        <v>310</v>
      </c>
      <c r="K148" s="195">
        <v>10</v>
      </c>
      <c r="L148" s="27">
        <f t="shared" si="13"/>
        <v>363.0498166659977</v>
      </c>
    </row>
    <row r="149" spans="1:12" x14ac:dyDescent="0.45">
      <c r="A149" s="314"/>
      <c r="B149" s="5" t="s">
        <v>10</v>
      </c>
      <c r="C149" s="2">
        <v>203</v>
      </c>
      <c r="D149" s="1">
        <v>3485624</v>
      </c>
      <c r="E149" s="1">
        <v>3508808</v>
      </c>
      <c r="F149" s="41">
        <v>15.857000000000001</v>
      </c>
      <c r="G149" s="22">
        <f t="shared" si="10"/>
        <v>61.311505779650822</v>
      </c>
      <c r="H149" s="45">
        <f t="shared" si="11"/>
        <v>7.2380511030837917</v>
      </c>
      <c r="I149" s="42">
        <f t="shared" si="12"/>
        <v>68.54955688273462</v>
      </c>
      <c r="J149" s="30">
        <f t="shared" si="14"/>
        <v>310</v>
      </c>
      <c r="K149" s="195"/>
      <c r="L149" s="27">
        <f t="shared" si="13"/>
        <v>378.54955688273463</v>
      </c>
    </row>
    <row r="150" spans="1:12" x14ac:dyDescent="0.45">
      <c r="A150" s="314"/>
      <c r="B150" s="5" t="s">
        <v>10</v>
      </c>
      <c r="C150" s="2">
        <v>204</v>
      </c>
      <c r="D150" s="1">
        <v>1920983</v>
      </c>
      <c r="E150" s="1">
        <v>1921627</v>
      </c>
      <c r="F150" s="41">
        <v>0.14300000000000002</v>
      </c>
      <c r="G150" s="22">
        <f t="shared" si="10"/>
        <v>0.55291324503311268</v>
      </c>
      <c r="H150" s="45">
        <f t="shared" si="11"/>
        <v>7.2380511030837917</v>
      </c>
      <c r="I150" s="42">
        <f t="shared" si="12"/>
        <v>7.7909643481169049</v>
      </c>
      <c r="J150" s="30">
        <f t="shared" si="14"/>
        <v>310</v>
      </c>
      <c r="K150" s="195"/>
      <c r="L150" s="27">
        <f t="shared" si="13"/>
        <v>317.79096434811692</v>
      </c>
    </row>
    <row r="151" spans="1:12" x14ac:dyDescent="0.45">
      <c r="A151" s="314"/>
      <c r="B151" s="5" t="s">
        <v>10</v>
      </c>
      <c r="C151" s="2">
        <v>301</v>
      </c>
      <c r="D151" s="1">
        <v>2392075</v>
      </c>
      <c r="E151" s="1">
        <v>2404203</v>
      </c>
      <c r="F151" s="41">
        <v>11.072000000000001</v>
      </c>
      <c r="G151" s="22">
        <f t="shared" si="10"/>
        <v>42.810177965081287</v>
      </c>
      <c r="H151" s="45">
        <f t="shared" si="11"/>
        <v>7.2380511030837917</v>
      </c>
      <c r="I151" s="42">
        <f t="shared" si="12"/>
        <v>50.048229068165078</v>
      </c>
      <c r="J151" s="30">
        <f t="shared" si="14"/>
        <v>310</v>
      </c>
      <c r="K151" s="195"/>
      <c r="L151" s="27">
        <f t="shared" si="13"/>
        <v>360.04822906816509</v>
      </c>
    </row>
    <row r="152" spans="1:12" x14ac:dyDescent="0.45">
      <c r="A152" s="314"/>
      <c r="B152" s="5" t="s">
        <v>10</v>
      </c>
      <c r="C152" s="2">
        <v>302</v>
      </c>
      <c r="D152" s="1">
        <v>4270190</v>
      </c>
      <c r="E152" s="1">
        <v>4286804</v>
      </c>
      <c r="F152" s="41">
        <v>18.187000000000001</v>
      </c>
      <c r="G152" s="22">
        <f t="shared" si="10"/>
        <v>70.320511800120428</v>
      </c>
      <c r="H152" s="45">
        <f t="shared" si="11"/>
        <v>7.2380511030837917</v>
      </c>
      <c r="I152" s="42">
        <f t="shared" si="12"/>
        <v>77.558562903204219</v>
      </c>
      <c r="J152" s="30">
        <f t="shared" si="14"/>
        <v>310</v>
      </c>
      <c r="K152" s="195"/>
      <c r="L152" s="27">
        <f t="shared" si="13"/>
        <v>387.55856290320423</v>
      </c>
    </row>
    <row r="153" spans="1:12" x14ac:dyDescent="0.45">
      <c r="A153" s="314"/>
      <c r="B153" s="5" t="s">
        <v>10</v>
      </c>
      <c r="C153" s="2">
        <v>303</v>
      </c>
      <c r="D153" s="1">
        <v>2670593</v>
      </c>
      <c r="E153" s="1">
        <v>2680456</v>
      </c>
      <c r="F153" s="41">
        <v>11.368</v>
      </c>
      <c r="G153" s="22">
        <f t="shared" si="10"/>
        <v>43.954669717037937</v>
      </c>
      <c r="H153" s="45">
        <f t="shared" si="11"/>
        <v>7.2380511030837917</v>
      </c>
      <c r="I153" s="42">
        <f t="shared" si="12"/>
        <v>51.192720820121728</v>
      </c>
      <c r="J153" s="30">
        <f t="shared" si="14"/>
        <v>310</v>
      </c>
      <c r="K153" s="195"/>
      <c r="L153" s="27">
        <f>SUM(I153,J153,K153)</f>
        <v>361.19272082012174</v>
      </c>
    </row>
    <row r="154" spans="1:12" x14ac:dyDescent="0.45">
      <c r="A154" s="314"/>
      <c r="B154" s="5" t="s">
        <v>10</v>
      </c>
      <c r="C154" s="2">
        <v>304</v>
      </c>
      <c r="D154" s="1">
        <v>76016</v>
      </c>
      <c r="E154" s="1">
        <v>91467</v>
      </c>
      <c r="F154" s="41">
        <v>19.884</v>
      </c>
      <c r="G154" s="22">
        <f t="shared" si="10"/>
        <v>76.882006742925952</v>
      </c>
      <c r="H154" s="45">
        <f t="shared" si="11"/>
        <v>7.2380511030837917</v>
      </c>
      <c r="I154" s="42">
        <f t="shared" si="12"/>
        <v>84.120057846009743</v>
      </c>
      <c r="J154" s="30">
        <f t="shared" si="14"/>
        <v>310</v>
      </c>
      <c r="K154" s="195">
        <v>300</v>
      </c>
      <c r="L154" s="27">
        <f t="shared" si="13"/>
        <v>694.12005784600979</v>
      </c>
    </row>
    <row r="155" spans="1:12" x14ac:dyDescent="0.45">
      <c r="A155" s="314"/>
      <c r="B155" s="5" t="s">
        <v>10</v>
      </c>
      <c r="C155" s="2">
        <v>401</v>
      </c>
      <c r="D155" s="1">
        <v>5046877</v>
      </c>
      <c r="E155" s="1">
        <v>5077348</v>
      </c>
      <c r="F155" s="41">
        <v>32.987000000000002</v>
      </c>
      <c r="G155" s="22">
        <f t="shared" si="10"/>
        <v>127.54509939795307</v>
      </c>
      <c r="H155" s="45">
        <f t="shared" si="11"/>
        <v>7.2380511030837917</v>
      </c>
      <c r="I155" s="42">
        <f t="shared" si="12"/>
        <v>134.78315050103686</v>
      </c>
      <c r="J155" s="30">
        <f t="shared" si="14"/>
        <v>310</v>
      </c>
      <c r="K155" s="195">
        <v>10</v>
      </c>
      <c r="L155" s="27">
        <f t="shared" si="13"/>
        <v>454.78315050103686</v>
      </c>
    </row>
    <row r="156" spans="1:12" x14ac:dyDescent="0.45">
      <c r="A156" s="314"/>
      <c r="B156" s="5" t="s">
        <v>10</v>
      </c>
      <c r="C156" s="2">
        <v>402</v>
      </c>
      <c r="D156" s="1">
        <v>3818192</v>
      </c>
      <c r="E156" s="1">
        <v>3832582</v>
      </c>
      <c r="F156" s="41">
        <v>17.187000000000001</v>
      </c>
      <c r="G156" s="22">
        <f t="shared" si="10"/>
        <v>66.45398561107767</v>
      </c>
      <c r="H156" s="45">
        <f t="shared" si="11"/>
        <v>7.2380511030837917</v>
      </c>
      <c r="I156" s="42">
        <f t="shared" si="12"/>
        <v>73.692036714161461</v>
      </c>
      <c r="J156" s="30">
        <f t="shared" si="14"/>
        <v>310</v>
      </c>
      <c r="K156" s="195"/>
      <c r="L156" s="27">
        <f t="shared" si="13"/>
        <v>383.69203671416147</v>
      </c>
    </row>
    <row r="157" spans="1:12" x14ac:dyDescent="0.45">
      <c r="A157" s="314"/>
      <c r="B157" s="5" t="s">
        <v>10</v>
      </c>
      <c r="C157" s="2">
        <v>403</v>
      </c>
      <c r="D157" s="1">
        <v>126442</v>
      </c>
      <c r="E157" s="1">
        <v>145905</v>
      </c>
      <c r="F157" s="41">
        <v>22.038</v>
      </c>
      <c r="G157" s="22">
        <f t="shared" si="10"/>
        <v>85.210504154124038</v>
      </c>
      <c r="H157" s="45">
        <f t="shared" si="11"/>
        <v>7.2380511030837917</v>
      </c>
      <c r="I157" s="42">
        <f t="shared" si="12"/>
        <v>92.448555257207829</v>
      </c>
      <c r="J157" s="30">
        <f t="shared" si="14"/>
        <v>310</v>
      </c>
      <c r="K157" s="195"/>
      <c r="L157" s="27">
        <f t="shared" si="13"/>
        <v>402.44855525720783</v>
      </c>
    </row>
    <row r="158" spans="1:12" x14ac:dyDescent="0.45">
      <c r="A158" s="314"/>
      <c r="B158" s="5" t="s">
        <v>10</v>
      </c>
      <c r="C158" s="2">
        <v>404</v>
      </c>
      <c r="D158" s="1">
        <v>149155</v>
      </c>
      <c r="E158" s="1">
        <v>164221</v>
      </c>
      <c r="F158" s="41">
        <v>15.039</v>
      </c>
      <c r="G158" s="22">
        <f t="shared" si="10"/>
        <v>58.148687357013856</v>
      </c>
      <c r="H158" s="45">
        <f t="shared" si="11"/>
        <v>7.2380511030837917</v>
      </c>
      <c r="I158" s="42">
        <f t="shared" si="12"/>
        <v>65.386738460097646</v>
      </c>
      <c r="J158" s="30">
        <f t="shared" si="14"/>
        <v>310</v>
      </c>
      <c r="K158" s="195">
        <v>10</v>
      </c>
      <c r="L158" s="27">
        <f>SUM(I158,J158,K158)</f>
        <v>385.38673846009766</v>
      </c>
    </row>
    <row r="159" spans="1:12" x14ac:dyDescent="0.45">
      <c r="A159" s="314"/>
      <c r="B159" s="5" t="s">
        <v>10</v>
      </c>
      <c r="C159" s="2">
        <v>501</v>
      </c>
      <c r="D159" s="1">
        <v>248239</v>
      </c>
      <c r="E159" s="1">
        <v>249311</v>
      </c>
      <c r="F159" s="41">
        <v>13.027000000000001</v>
      </c>
      <c r="G159" s="22">
        <f t="shared" si="10"/>
        <v>50.369236664659851</v>
      </c>
      <c r="H159" s="45">
        <f t="shared" si="11"/>
        <v>7.2380511030837917</v>
      </c>
      <c r="I159" s="42">
        <f t="shared" si="12"/>
        <v>57.607287767743642</v>
      </c>
      <c r="J159" s="30">
        <f t="shared" si="14"/>
        <v>310</v>
      </c>
      <c r="K159" s="195"/>
      <c r="L159" s="27">
        <f>SUM(I159,J159,K159)</f>
        <v>367.60728776774363</v>
      </c>
    </row>
    <row r="160" spans="1:12" x14ac:dyDescent="0.45">
      <c r="A160" s="314"/>
      <c r="B160" s="5" t="s">
        <v>10</v>
      </c>
      <c r="C160" s="2">
        <v>502</v>
      </c>
      <c r="D160" s="1">
        <v>2818415</v>
      </c>
      <c r="E160" s="1">
        <v>2834116</v>
      </c>
      <c r="F160" s="41">
        <v>17.748000000000001</v>
      </c>
      <c r="G160" s="22">
        <f t="shared" si="10"/>
        <v>68.623106803130653</v>
      </c>
      <c r="H160" s="45">
        <f t="shared" si="11"/>
        <v>7.2380511030837917</v>
      </c>
      <c r="I160" s="42">
        <f t="shared" si="12"/>
        <v>75.861157906214444</v>
      </c>
      <c r="J160" s="30">
        <f t="shared" si="14"/>
        <v>310</v>
      </c>
      <c r="K160" s="195"/>
      <c r="L160" s="27">
        <f t="shared" si="13"/>
        <v>385.86115790621443</v>
      </c>
    </row>
    <row r="161" spans="1:12" x14ac:dyDescent="0.45">
      <c r="A161" s="314"/>
      <c r="B161" s="5" t="s">
        <v>10</v>
      </c>
      <c r="C161" s="2">
        <v>503</v>
      </c>
      <c r="D161" s="1">
        <v>3803204</v>
      </c>
      <c r="E161" s="1">
        <v>3815564</v>
      </c>
      <c r="F161" s="41">
        <v>13.752000000000001</v>
      </c>
      <c r="G161" s="22">
        <f t="shared" si="10"/>
        <v>53.17246815171584</v>
      </c>
      <c r="H161" s="45">
        <f t="shared" si="11"/>
        <v>7.2380511030837917</v>
      </c>
      <c r="I161" s="42">
        <f t="shared" si="12"/>
        <v>60.410519254799631</v>
      </c>
      <c r="J161" s="30">
        <f t="shared" si="14"/>
        <v>310</v>
      </c>
      <c r="K161" s="195"/>
      <c r="L161" s="27">
        <f t="shared" si="13"/>
        <v>370.41051925479962</v>
      </c>
    </row>
    <row r="162" spans="1:12" x14ac:dyDescent="0.45">
      <c r="A162" s="314"/>
      <c r="B162" s="5" t="s">
        <v>10</v>
      </c>
      <c r="C162" s="2">
        <v>504</v>
      </c>
      <c r="D162" s="1">
        <v>3610159</v>
      </c>
      <c r="E162" s="1">
        <v>3610160</v>
      </c>
      <c r="F162" s="41">
        <v>-1E-3</v>
      </c>
      <c r="G162" s="22">
        <f t="shared" si="10"/>
        <v>-3.8665261890427458E-3</v>
      </c>
      <c r="H162" s="45">
        <f t="shared" si="11"/>
        <v>7.2380511030837917</v>
      </c>
      <c r="I162" s="42">
        <f t="shared" si="12"/>
        <v>7.2341845768947488</v>
      </c>
      <c r="J162" s="30">
        <f t="shared" si="14"/>
        <v>310</v>
      </c>
      <c r="K162" s="195">
        <v>10</v>
      </c>
      <c r="L162" s="27">
        <f t="shared" si="13"/>
        <v>327.23418457689473</v>
      </c>
    </row>
    <row r="163" spans="1:12" x14ac:dyDescent="0.45">
      <c r="A163" s="318"/>
      <c r="B163" s="5" t="s">
        <v>11</v>
      </c>
      <c r="C163" s="2">
        <v>101</v>
      </c>
      <c r="D163" s="1">
        <v>3085400</v>
      </c>
      <c r="E163" s="1">
        <v>3107778</v>
      </c>
      <c r="F163" s="41">
        <v>15.093</v>
      </c>
      <c r="G163" s="22">
        <f t="shared" si="10"/>
        <v>58.35747977122216</v>
      </c>
      <c r="H163" s="45">
        <f t="shared" si="11"/>
        <v>7.2380511030837917</v>
      </c>
      <c r="I163" s="42">
        <f t="shared" si="12"/>
        <v>65.59553087430595</v>
      </c>
      <c r="J163" s="30">
        <f t="shared" si="14"/>
        <v>310</v>
      </c>
      <c r="K163" s="195"/>
      <c r="L163" s="27">
        <f t="shared" si="13"/>
        <v>375.59553087430595</v>
      </c>
    </row>
    <row r="164" spans="1:12" x14ac:dyDescent="0.45">
      <c r="A164" s="318"/>
      <c r="B164" s="5" t="s">
        <v>11</v>
      </c>
      <c r="C164" s="2">
        <v>102</v>
      </c>
      <c r="D164" s="1">
        <v>2847805</v>
      </c>
      <c r="E164" s="1">
        <v>2872456</v>
      </c>
      <c r="F164" s="41">
        <v>26.335000000000001</v>
      </c>
      <c r="G164" s="22">
        <f t="shared" si="10"/>
        <v>101.82496718844071</v>
      </c>
      <c r="H164" s="45">
        <f t="shared" si="11"/>
        <v>7.2380511030837917</v>
      </c>
      <c r="I164" s="42">
        <f t="shared" si="12"/>
        <v>109.0630182915245</v>
      </c>
      <c r="J164" s="30">
        <f t="shared" si="14"/>
        <v>310</v>
      </c>
      <c r="K164" s="195">
        <v>10</v>
      </c>
      <c r="L164" s="27">
        <f t="shared" si="13"/>
        <v>429.06301829152449</v>
      </c>
    </row>
    <row r="165" spans="1:12" x14ac:dyDescent="0.45">
      <c r="A165" s="318"/>
      <c r="B165" s="5" t="s">
        <v>11</v>
      </c>
      <c r="C165" s="2">
        <v>103</v>
      </c>
      <c r="D165" s="1">
        <v>2404906</v>
      </c>
      <c r="E165" s="1">
        <v>2414005</v>
      </c>
      <c r="F165" s="41">
        <v>10.491</v>
      </c>
      <c r="G165" s="22">
        <f t="shared" si="10"/>
        <v>40.563726249247445</v>
      </c>
      <c r="H165" s="45">
        <f t="shared" si="11"/>
        <v>7.2380511030837917</v>
      </c>
      <c r="I165" s="42">
        <f t="shared" si="12"/>
        <v>47.801777352331236</v>
      </c>
      <c r="J165" s="30">
        <f t="shared" si="14"/>
        <v>310</v>
      </c>
      <c r="K165" s="195"/>
      <c r="L165" s="27">
        <f t="shared" si="13"/>
        <v>357.80177735233121</v>
      </c>
    </row>
    <row r="166" spans="1:12" x14ac:dyDescent="0.45">
      <c r="A166" s="318"/>
      <c r="B166" s="5" t="s">
        <v>11</v>
      </c>
      <c r="C166" s="2">
        <v>104</v>
      </c>
      <c r="D166" s="1">
        <v>2925888</v>
      </c>
      <c r="E166" s="1">
        <v>2954815</v>
      </c>
      <c r="F166" s="41">
        <v>25.058</v>
      </c>
      <c r="G166" s="22">
        <f t="shared" si="10"/>
        <v>96.88741324503313</v>
      </c>
      <c r="H166" s="45">
        <f t="shared" si="11"/>
        <v>7.2380511030837917</v>
      </c>
      <c r="I166" s="42">
        <f t="shared" si="12"/>
        <v>104.12546434811692</v>
      </c>
      <c r="J166" s="30">
        <f t="shared" si="14"/>
        <v>310</v>
      </c>
      <c r="K166" s="195">
        <v>10</v>
      </c>
      <c r="L166" s="27">
        <f t="shared" si="13"/>
        <v>424.12546434811691</v>
      </c>
    </row>
    <row r="167" spans="1:12" x14ac:dyDescent="0.45">
      <c r="A167" s="318"/>
      <c r="B167" s="5" t="s">
        <v>11</v>
      </c>
      <c r="C167" s="2">
        <v>201</v>
      </c>
      <c r="D167" s="1">
        <v>2169319</v>
      </c>
      <c r="E167" s="1">
        <v>2188482</v>
      </c>
      <c r="F167" s="41">
        <v>20.219000000000001</v>
      </c>
      <c r="G167" s="22">
        <f t="shared" si="10"/>
        <v>78.177293016255277</v>
      </c>
      <c r="H167" s="45">
        <f t="shared" si="11"/>
        <v>7.2380511030837917</v>
      </c>
      <c r="I167" s="42">
        <f t="shared" si="12"/>
        <v>85.415344119339068</v>
      </c>
      <c r="J167" s="30">
        <f t="shared" si="14"/>
        <v>310</v>
      </c>
      <c r="K167" s="195"/>
      <c r="L167" s="27">
        <f t="shared" si="13"/>
        <v>395.41534411933907</v>
      </c>
    </row>
    <row r="168" spans="1:12" x14ac:dyDescent="0.45">
      <c r="A168" s="318"/>
      <c r="B168" s="5" t="s">
        <v>11</v>
      </c>
      <c r="C168" s="2">
        <v>202</v>
      </c>
      <c r="D168" s="1">
        <v>219496</v>
      </c>
      <c r="E168" s="1">
        <v>243452</v>
      </c>
      <c r="F168" s="41">
        <v>28.728000000000002</v>
      </c>
      <c r="G168" s="22">
        <f t="shared" si="10"/>
        <v>111.07756435882001</v>
      </c>
      <c r="H168" s="45">
        <f t="shared" si="11"/>
        <v>7.2380511030837917</v>
      </c>
      <c r="I168" s="42">
        <f t="shared" si="12"/>
        <v>118.3156154619038</v>
      </c>
      <c r="J168" s="30">
        <f t="shared" si="14"/>
        <v>310</v>
      </c>
      <c r="K168" s="195">
        <v>10</v>
      </c>
      <c r="L168" s="27">
        <f t="shared" si="13"/>
        <v>438.3156154619038</v>
      </c>
    </row>
    <row r="169" spans="1:12" x14ac:dyDescent="0.45">
      <c r="A169" s="318"/>
      <c r="B169" s="5" t="s">
        <v>11</v>
      </c>
      <c r="C169" s="2">
        <v>203</v>
      </c>
      <c r="D169" s="1">
        <v>2797771</v>
      </c>
      <c r="E169" s="1">
        <v>2816710</v>
      </c>
      <c r="F169" s="41">
        <v>21.715</v>
      </c>
      <c r="G169" s="22">
        <f t="shared" si="10"/>
        <v>83.961616195063229</v>
      </c>
      <c r="H169" s="45">
        <f t="shared" si="11"/>
        <v>7.2380511030837917</v>
      </c>
      <c r="I169" s="42">
        <f t="shared" si="12"/>
        <v>91.19966729814702</v>
      </c>
      <c r="J169" s="30">
        <f t="shared" si="14"/>
        <v>310</v>
      </c>
      <c r="K169" s="195">
        <v>10</v>
      </c>
      <c r="L169" s="27">
        <f t="shared" si="13"/>
        <v>411.19966729814701</v>
      </c>
    </row>
    <row r="170" spans="1:12" x14ac:dyDescent="0.45">
      <c r="A170" s="318"/>
      <c r="B170" s="5" t="s">
        <v>11</v>
      </c>
      <c r="C170" s="2">
        <v>204</v>
      </c>
      <c r="D170" s="1">
        <v>2400446</v>
      </c>
      <c r="E170" s="1">
        <v>2412961</v>
      </c>
      <c r="F170" s="41">
        <v>14.507</v>
      </c>
      <c r="G170" s="22">
        <f t="shared" si="10"/>
        <v>56.09169542444311</v>
      </c>
      <c r="H170" s="45">
        <f t="shared" si="11"/>
        <v>7.2380511030837917</v>
      </c>
      <c r="I170" s="42">
        <f t="shared" si="12"/>
        <v>63.3297465275269</v>
      </c>
      <c r="J170" s="30">
        <f t="shared" si="14"/>
        <v>310</v>
      </c>
      <c r="K170" s="195"/>
      <c r="L170" s="27">
        <f t="shared" si="13"/>
        <v>373.32974652752688</v>
      </c>
    </row>
    <row r="171" spans="1:12" x14ac:dyDescent="0.45">
      <c r="A171" s="318"/>
      <c r="B171" s="5" t="s">
        <v>11</v>
      </c>
      <c r="C171" s="2">
        <v>301</v>
      </c>
      <c r="D171" s="1">
        <v>3427859</v>
      </c>
      <c r="E171" s="1">
        <v>3439585</v>
      </c>
      <c r="F171" s="41">
        <v>15.259</v>
      </c>
      <c r="G171" s="22">
        <f t="shared" si="10"/>
        <v>58.999323118603257</v>
      </c>
      <c r="H171" s="45">
        <f t="shared" si="11"/>
        <v>7.2380511030837917</v>
      </c>
      <c r="I171" s="42">
        <f t="shared" si="12"/>
        <v>66.237374221687048</v>
      </c>
      <c r="J171" s="30">
        <f t="shared" si="14"/>
        <v>310</v>
      </c>
      <c r="K171" s="195"/>
      <c r="L171" s="27">
        <f t="shared" si="13"/>
        <v>376.23737422168705</v>
      </c>
    </row>
    <row r="172" spans="1:12" x14ac:dyDescent="0.45">
      <c r="A172" s="318"/>
      <c r="B172" s="5" t="s">
        <v>11</v>
      </c>
      <c r="C172" s="2">
        <v>302</v>
      </c>
      <c r="D172" s="1">
        <v>2733638</v>
      </c>
      <c r="E172" s="1">
        <v>2744861</v>
      </c>
      <c r="F172" s="41">
        <v>11.824</v>
      </c>
      <c r="G172" s="22">
        <f t="shared" si="10"/>
        <v>45.717805659241428</v>
      </c>
      <c r="H172" s="45">
        <f t="shared" si="11"/>
        <v>7.2380511030837917</v>
      </c>
      <c r="I172" s="42">
        <f t="shared" si="12"/>
        <v>52.955856762325219</v>
      </c>
      <c r="J172" s="30">
        <f t="shared" si="14"/>
        <v>310</v>
      </c>
      <c r="K172" s="195">
        <v>10</v>
      </c>
      <c r="L172" s="27">
        <f t="shared" si="13"/>
        <v>372.9558567623252</v>
      </c>
    </row>
    <row r="173" spans="1:12" x14ac:dyDescent="0.45">
      <c r="A173" s="318"/>
      <c r="B173" s="5" t="s">
        <v>11</v>
      </c>
      <c r="C173" s="2">
        <v>303</v>
      </c>
      <c r="D173" s="1">
        <v>2530603</v>
      </c>
      <c r="E173" s="1">
        <v>2543364</v>
      </c>
      <c r="F173" s="41">
        <v>16.138999999999999</v>
      </c>
      <c r="G173" s="22">
        <f t="shared" si="10"/>
        <v>62.401866164960872</v>
      </c>
      <c r="H173" s="45">
        <f t="shared" si="11"/>
        <v>7.2380511030837917</v>
      </c>
      <c r="I173" s="42">
        <f t="shared" si="12"/>
        <v>69.63991726804467</v>
      </c>
      <c r="J173" s="30">
        <f t="shared" si="14"/>
        <v>310</v>
      </c>
      <c r="K173" s="195"/>
      <c r="L173" s="27">
        <f t="shared" si="13"/>
        <v>379.63991726804466</v>
      </c>
    </row>
    <row r="174" spans="1:12" x14ac:dyDescent="0.45">
      <c r="A174" s="318"/>
      <c r="B174" s="5" t="s">
        <v>11</v>
      </c>
      <c r="C174" s="2">
        <v>304</v>
      </c>
      <c r="D174" s="1">
        <v>5408879</v>
      </c>
      <c r="E174" s="1">
        <v>5421357</v>
      </c>
      <c r="F174" s="41">
        <v>0.77800000000000002</v>
      </c>
      <c r="G174" s="22">
        <f t="shared" si="10"/>
        <v>3.0081573750752564</v>
      </c>
      <c r="H174" s="45">
        <f t="shared" si="11"/>
        <v>7.2380511030837917</v>
      </c>
      <c r="I174" s="42">
        <f t="shared" si="12"/>
        <v>10.246208478159048</v>
      </c>
      <c r="J174" s="30">
        <f t="shared" si="14"/>
        <v>310</v>
      </c>
      <c r="K174" s="195">
        <v>10</v>
      </c>
      <c r="L174" s="27">
        <f t="shared" si="13"/>
        <v>330.24620847815902</v>
      </c>
    </row>
    <row r="175" spans="1:12" x14ac:dyDescent="0.45">
      <c r="A175" s="318"/>
      <c r="B175" s="5" t="s">
        <v>11</v>
      </c>
      <c r="C175" s="2">
        <v>401</v>
      </c>
      <c r="D175" s="1">
        <v>3496872</v>
      </c>
      <c r="E175" s="1">
        <v>3496872</v>
      </c>
      <c r="F175" s="41">
        <v>0</v>
      </c>
      <c r="G175" s="22">
        <f t="shared" si="10"/>
        <v>0</v>
      </c>
      <c r="H175" s="45">
        <f t="shared" si="11"/>
        <v>7.2380511030837917</v>
      </c>
      <c r="I175" s="42">
        <f t="shared" si="12"/>
        <v>7.2380511030837917</v>
      </c>
      <c r="J175" s="30">
        <f t="shared" si="14"/>
        <v>310</v>
      </c>
      <c r="K175" s="195"/>
      <c r="L175" s="27">
        <f t="shared" si="13"/>
        <v>317.23805110308382</v>
      </c>
    </row>
    <row r="176" spans="1:12" x14ac:dyDescent="0.45">
      <c r="A176" s="318"/>
      <c r="B176" s="5" t="s">
        <v>11</v>
      </c>
      <c r="C176" s="2">
        <v>402</v>
      </c>
      <c r="D176" s="1">
        <v>2032175</v>
      </c>
      <c r="E176" s="1">
        <v>2038604</v>
      </c>
      <c r="F176" s="41">
        <v>9.5850000000000009</v>
      </c>
      <c r="G176" s="22">
        <f t="shared" si="10"/>
        <v>37.060653521974722</v>
      </c>
      <c r="H176" s="45">
        <f t="shared" si="11"/>
        <v>7.2380511030837917</v>
      </c>
      <c r="I176" s="42">
        <f t="shared" si="12"/>
        <v>44.298704625058512</v>
      </c>
      <c r="J176" s="30">
        <f t="shared" si="14"/>
        <v>310</v>
      </c>
      <c r="K176" s="195"/>
      <c r="L176" s="27">
        <f t="shared" si="13"/>
        <v>354.29870462505852</v>
      </c>
    </row>
    <row r="177" spans="1:12" x14ac:dyDescent="0.45">
      <c r="A177" s="318"/>
      <c r="B177" s="5" t="s">
        <v>11</v>
      </c>
      <c r="C177" s="2">
        <v>403</v>
      </c>
      <c r="D177" s="1">
        <v>3282926</v>
      </c>
      <c r="E177" s="1">
        <v>3296764</v>
      </c>
      <c r="F177" s="41">
        <v>13.255000000000001</v>
      </c>
      <c r="G177" s="22">
        <f t="shared" si="10"/>
        <v>51.250804635761597</v>
      </c>
      <c r="H177" s="45">
        <f t="shared" si="11"/>
        <v>7.2380511030837917</v>
      </c>
      <c r="I177" s="42">
        <f t="shared" si="12"/>
        <v>58.488855738845388</v>
      </c>
      <c r="J177" s="30">
        <f t="shared" si="14"/>
        <v>310</v>
      </c>
      <c r="K177" s="195"/>
      <c r="L177" s="27">
        <f t="shared" si="13"/>
        <v>368.48885573884536</v>
      </c>
    </row>
    <row r="178" spans="1:12" x14ac:dyDescent="0.45">
      <c r="A178" s="318"/>
      <c r="B178" s="5" t="s">
        <v>11</v>
      </c>
      <c r="C178" s="2">
        <v>404</v>
      </c>
      <c r="D178" s="1">
        <v>64716</v>
      </c>
      <c r="E178" s="1">
        <v>86048</v>
      </c>
      <c r="F178" s="41">
        <v>21.699000000000002</v>
      </c>
      <c r="G178" s="22">
        <f t="shared" si="10"/>
        <v>83.899751776038542</v>
      </c>
      <c r="H178" s="45">
        <f t="shared" si="11"/>
        <v>7.2380511030837917</v>
      </c>
      <c r="I178" s="42">
        <f t="shared" si="12"/>
        <v>91.137802879122333</v>
      </c>
      <c r="J178" s="30">
        <f t="shared" si="14"/>
        <v>310</v>
      </c>
      <c r="K178" s="195"/>
      <c r="L178" s="27">
        <f t="shared" si="13"/>
        <v>401.13780287912232</v>
      </c>
    </row>
    <row r="179" spans="1:12" x14ac:dyDescent="0.45">
      <c r="A179" s="318"/>
      <c r="B179" s="5" t="s">
        <v>11</v>
      </c>
      <c r="C179" s="2">
        <v>501</v>
      </c>
      <c r="D179" s="1">
        <v>3976599</v>
      </c>
      <c r="E179" s="1">
        <v>4002614</v>
      </c>
      <c r="F179" s="41">
        <v>26.152000000000001</v>
      </c>
      <c r="G179" s="22">
        <f t="shared" si="10"/>
        <v>101.1173928958459</v>
      </c>
      <c r="H179" s="45">
        <f t="shared" si="11"/>
        <v>7.2380511030837917</v>
      </c>
      <c r="I179" s="42">
        <f t="shared" si="12"/>
        <v>108.35544399892969</v>
      </c>
      <c r="J179" s="30">
        <f t="shared" si="14"/>
        <v>310</v>
      </c>
      <c r="K179" s="195">
        <v>10</v>
      </c>
      <c r="L179" s="27">
        <f t="shared" si="13"/>
        <v>428.35544399892967</v>
      </c>
    </row>
    <row r="180" spans="1:12" x14ac:dyDescent="0.45">
      <c r="A180" s="318"/>
      <c r="B180" s="5" t="s">
        <v>11</v>
      </c>
      <c r="C180" s="2">
        <v>502</v>
      </c>
      <c r="D180" s="1">
        <v>3963950</v>
      </c>
      <c r="E180" s="1">
        <v>3987946</v>
      </c>
      <c r="F180" s="41">
        <v>14.422000000000001</v>
      </c>
      <c r="G180" s="22">
        <f t="shared" si="10"/>
        <v>55.763040698374482</v>
      </c>
      <c r="H180" s="45">
        <f>MMULT($H$1,1/180)</f>
        <v>7.2380511030837917</v>
      </c>
      <c r="I180" s="42">
        <f t="shared" si="12"/>
        <v>63.001091801458273</v>
      </c>
      <c r="J180" s="30">
        <f t="shared" si="14"/>
        <v>310</v>
      </c>
      <c r="K180" s="195"/>
      <c r="L180" s="27">
        <f t="shared" si="13"/>
        <v>373.0010918014583</v>
      </c>
    </row>
    <row r="181" spans="1:12" x14ac:dyDescent="0.45">
      <c r="A181" s="318"/>
      <c r="B181" s="5" t="s">
        <v>11</v>
      </c>
      <c r="C181" s="2">
        <v>503</v>
      </c>
      <c r="D181" s="1">
        <v>2428362</v>
      </c>
      <c r="E181" s="1">
        <v>2446134</v>
      </c>
      <c r="F181" s="41">
        <v>15.73</v>
      </c>
      <c r="G181" s="22">
        <f>MMULT($G$1,1/$F$183)*F181</f>
        <v>60.820456953642392</v>
      </c>
      <c r="H181" s="45">
        <f t="shared" si="11"/>
        <v>7.2380511030837917</v>
      </c>
      <c r="I181" s="42">
        <f t="shared" si="12"/>
        <v>68.058508056726183</v>
      </c>
      <c r="J181" s="30">
        <f t="shared" si="14"/>
        <v>310</v>
      </c>
      <c r="K181" s="195"/>
      <c r="L181" s="27">
        <f t="shared" si="13"/>
        <v>378.05850805672617</v>
      </c>
    </row>
    <row r="182" spans="1:12" x14ac:dyDescent="0.45">
      <c r="A182" s="318"/>
      <c r="B182" s="5" t="s">
        <v>11</v>
      </c>
      <c r="C182" s="2">
        <v>504</v>
      </c>
      <c r="D182" s="1">
        <v>3327617</v>
      </c>
      <c r="E182" s="1">
        <v>3354739</v>
      </c>
      <c r="F182" s="41">
        <v>21.928000000000001</v>
      </c>
      <c r="G182" s="22">
        <f t="shared" si="10"/>
        <v>84.78518627332933</v>
      </c>
      <c r="H182" s="45">
        <f>MMULT($H$1,1/180)</f>
        <v>7.2380511030837917</v>
      </c>
      <c r="I182" s="42">
        <f t="shared" si="12"/>
        <v>92.023237376413121</v>
      </c>
      <c r="J182" s="30">
        <f t="shared" si="14"/>
        <v>310</v>
      </c>
      <c r="K182" s="195"/>
      <c r="L182" s="27">
        <f t="shared" si="13"/>
        <v>402.02323737641314</v>
      </c>
    </row>
    <row r="183" spans="1:12" ht="15" customHeight="1" x14ac:dyDescent="0.45">
      <c r="F183" s="41">
        <f>SUM(F3:F182)</f>
        <v>2985.0440000000012</v>
      </c>
      <c r="G183" s="22">
        <f t="shared" si="10"/>
        <v>11541.750801444919</v>
      </c>
      <c r="H183" s="243">
        <f>SUM(H3:H182)</f>
        <v>1302.8491985550804</v>
      </c>
      <c r="L183" s="161" t="s">
        <v>12</v>
      </c>
    </row>
    <row r="184" spans="1:12" ht="15" customHeight="1" x14ac:dyDescent="0.45">
      <c r="F184" t="s">
        <v>12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7318</v>
      </c>
      <c r="F188" s="93">
        <v>1893</v>
      </c>
      <c r="G188" s="92">
        <f>MMULT(E188,1/F188)</f>
        <v>3.8658214474379293</v>
      </c>
      <c r="H188" s="20" t="s">
        <v>12</v>
      </c>
      <c r="I188"/>
    </row>
    <row r="189" spans="1:12" ht="15" customHeight="1" thickBot="1" x14ac:dyDescent="0.5">
      <c r="D189" s="46">
        <v>6244619</v>
      </c>
      <c r="E189" s="88">
        <v>5526.6</v>
      </c>
      <c r="F189" s="94">
        <v>1429</v>
      </c>
      <c r="G189" s="92">
        <f>MMULT(E189,1/F189)</f>
        <v>3.8674597620713786</v>
      </c>
      <c r="H189" s="152"/>
      <c r="I189"/>
    </row>
    <row r="190" spans="1:12" ht="15" customHeight="1" thickBot="1" x14ac:dyDescent="0.5">
      <c r="D190" s="6" t="s">
        <v>33</v>
      </c>
      <c r="E190" s="48">
        <f>SUM(E188:E189)</f>
        <v>12844.6</v>
      </c>
      <c r="F190" s="95">
        <f>SUM(F188:F189)</f>
        <v>3322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19" t="s">
        <v>69</v>
      </c>
      <c r="E192" s="319"/>
      <c r="F192" s="49">
        <f>SUM(F190)</f>
        <v>3322</v>
      </c>
      <c r="G192" s="156">
        <f>SUM(I192)</f>
        <v>3.8665261890427454</v>
      </c>
      <c r="H192" s="155" t="s">
        <v>12</v>
      </c>
      <c r="I192" s="157" cm="1">
        <f t="array" ref="I192">MMULT(E190,1/F190)</f>
        <v>3.8665261890427454</v>
      </c>
    </row>
    <row r="193" spans="4:8" ht="15" customHeight="1" x14ac:dyDescent="0.45">
      <c r="D193" s="320" t="s">
        <v>271</v>
      </c>
      <c r="E193" s="321"/>
      <c r="F193" s="49">
        <f>SUM(F183)</f>
        <v>2985.0440000000012</v>
      </c>
      <c r="G193" s="27">
        <f>MMULT(F193,G192)</f>
        <v>11541.750801444918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336.95599999999877</v>
      </c>
      <c r="G194" s="158">
        <f>MMULT(F194,G192)</f>
        <v>1302.8491985550825</v>
      </c>
      <c r="H194" s="61"/>
    </row>
    <row r="195" spans="4:8" ht="15" customHeight="1" thickBot="1" x14ac:dyDescent="0.5">
      <c r="F195" s="7"/>
      <c r="G195" s="48">
        <f>SUM(G193:G194)</f>
        <v>12844.6</v>
      </c>
    </row>
    <row r="196" spans="4:8" ht="15" customHeight="1" x14ac:dyDescent="0.45">
      <c r="F196" s="7"/>
    </row>
    <row r="197" spans="4:8" ht="15" customHeight="1" x14ac:dyDescent="0.45"/>
    <row r="198" spans="4:8" ht="15" customHeight="1" x14ac:dyDescent="0.45">
      <c r="D198" t="s">
        <v>70</v>
      </c>
      <c r="F198" s="20">
        <f>MAX(F3:F182)</f>
        <v>51.844000000000001</v>
      </c>
      <c r="G198" s="20">
        <f>MAX(I3:I182)</f>
        <v>207.69423484781592</v>
      </c>
    </row>
    <row r="199" spans="4:8" ht="15" customHeight="1" x14ac:dyDescent="0.45">
      <c r="D199" t="s">
        <v>71</v>
      </c>
      <c r="F199" s="20">
        <f>MIN(F3:F182)</f>
        <v>-1E-3</v>
      </c>
      <c r="G199" s="20">
        <f>MIN(I3:I182)</f>
        <v>7.2341845768947488</v>
      </c>
    </row>
    <row r="200" spans="4:8" ht="15" customHeight="1" x14ac:dyDescent="0.45">
      <c r="D200" t="s">
        <v>265</v>
      </c>
      <c r="F200" s="92">
        <f>AVERAGE(F3:F182)</f>
        <v>16.583577777777784</v>
      </c>
      <c r="G200" s="92">
        <f>AVERAGE(G3:G182)</f>
        <v>64.12083778580508</v>
      </c>
    </row>
    <row r="201" spans="4:8" ht="15" customHeight="1" x14ac:dyDescent="0.45">
      <c r="D201" t="s">
        <v>273</v>
      </c>
      <c r="F201" s="92">
        <f>AVERAGE(F199,F198)</f>
        <v>25.921500000000002</v>
      </c>
      <c r="G201" t="s">
        <v>12</v>
      </c>
    </row>
    <row r="202" spans="4:8" ht="15.75" customHeight="1" x14ac:dyDescent="0.45">
      <c r="D202" t="s">
        <v>12</v>
      </c>
      <c r="E202" t="s">
        <v>12</v>
      </c>
      <c r="F202" s="7"/>
    </row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5A7AB-664B-4E06-A09D-EC3365020F16}">
  <dimension ref="A1:O2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H1" sqref="H1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3.863281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11716.832194112701</v>
      </c>
      <c r="H1" s="27">
        <f>SUM(G194)</f>
        <v>2442.8678058872979</v>
      </c>
      <c r="I1" s="316">
        <f>SUM(G1:H1)</f>
        <v>14159.699999999999</v>
      </c>
      <c r="J1" s="317"/>
      <c r="K1" s="4" t="s">
        <v>12</v>
      </c>
      <c r="L1" s="4"/>
      <c r="N1">
        <v>1E-3</v>
      </c>
    </row>
    <row r="2" spans="1:15" ht="42.75" x14ac:dyDescent="0.45">
      <c r="B2" s="43" t="s">
        <v>0</v>
      </c>
      <c r="C2" s="44" t="s">
        <v>1</v>
      </c>
      <c r="D2" s="3">
        <v>44114</v>
      </c>
      <c r="E2" s="3">
        <v>44145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3134030</v>
      </c>
      <c r="E3" s="1">
        <v>3146996</v>
      </c>
      <c r="F3" s="41">
        <f>(E3-D3)*$N$1</f>
        <v>12.966000000000001</v>
      </c>
      <c r="G3" s="22">
        <f>MMULT($G$1,1/$F$183)*F3</f>
        <v>51.470330866274182</v>
      </c>
      <c r="H3" s="45">
        <f>MMULT($H$1,1/180)</f>
        <v>13.571487810484989</v>
      </c>
      <c r="I3" s="42">
        <f>SUM(G3,H3)</f>
        <v>65.041818676759164</v>
      </c>
      <c r="J3" s="30">
        <v>310</v>
      </c>
      <c r="K3" s="195"/>
      <c r="L3" s="27">
        <f>SUM(I3,J3,K3)</f>
        <v>375.04181867675914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1993778</v>
      </c>
      <c r="E4" s="1">
        <v>2002721</v>
      </c>
      <c r="F4" s="41">
        <f t="shared" ref="F4:F22" si="0">(E4-D4)*$N$1</f>
        <v>8.9429999999999996</v>
      </c>
      <c r="G4" s="22">
        <f t="shared" ref="G4:G67" si="1">MMULT($G$1,1/$F$183)*F4</f>
        <v>35.500475777964674</v>
      </c>
      <c r="H4" s="45">
        <f t="shared" ref="H4:H67" si="2">MMULT($H$1,1/180)</f>
        <v>13.571487810484989</v>
      </c>
      <c r="I4" s="42">
        <f t="shared" ref="I4:I67" si="3">SUM(G4,H4)</f>
        <v>49.071963588449663</v>
      </c>
      <c r="J4" s="30">
        <f>SUM($J$3)</f>
        <v>310</v>
      </c>
      <c r="K4" s="195"/>
      <c r="L4" s="27">
        <f t="shared" ref="L4:L66" si="4">SUM(I4,J4,K4)</f>
        <v>359.07196358844965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2921287</v>
      </c>
      <c r="E5" s="1">
        <v>2932094</v>
      </c>
      <c r="F5" s="41">
        <f t="shared" si="0"/>
        <v>10.807</v>
      </c>
      <c r="G5" s="22">
        <f t="shared" si="1"/>
        <v>42.899881665264928</v>
      </c>
      <c r="H5" s="45">
        <f>MMULT($H$1,1/180)</f>
        <v>13.571487810484989</v>
      </c>
      <c r="I5" s="42">
        <f t="shared" si="3"/>
        <v>56.471369475749917</v>
      </c>
      <c r="J5" s="30">
        <f t="shared" ref="J5:J68" si="5">SUM($J$3)</f>
        <v>310</v>
      </c>
      <c r="K5" s="195"/>
      <c r="L5" s="27">
        <f t="shared" si="4"/>
        <v>366.4713694757499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2529199</v>
      </c>
      <c r="E6" s="1">
        <v>2540485</v>
      </c>
      <c r="F6" s="41">
        <f t="shared" si="0"/>
        <v>11.286</v>
      </c>
      <c r="G6" s="22">
        <f t="shared" si="1"/>
        <v>44.801338435660213</v>
      </c>
      <c r="H6" s="45">
        <f t="shared" si="2"/>
        <v>13.571487810484989</v>
      </c>
      <c r="I6" s="42">
        <f t="shared" si="3"/>
        <v>58.372826246145202</v>
      </c>
      <c r="J6" s="30">
        <f t="shared" si="5"/>
        <v>310</v>
      </c>
      <c r="K6" s="195"/>
      <c r="L6" s="27">
        <f t="shared" si="4"/>
        <v>368.37282624614522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3701285</v>
      </c>
      <c r="E7" s="1">
        <v>3717909</v>
      </c>
      <c r="F7" s="41">
        <f t="shared" si="0"/>
        <v>16.623999999999999</v>
      </c>
      <c r="G7" s="22">
        <f t="shared" si="1"/>
        <v>65.991267956265759</v>
      </c>
      <c r="H7" s="45">
        <f t="shared" si="2"/>
        <v>13.571487810484989</v>
      </c>
      <c r="I7" s="42">
        <f t="shared" si="3"/>
        <v>79.56275576675074</v>
      </c>
      <c r="J7" s="30">
        <f t="shared" si="5"/>
        <v>310</v>
      </c>
      <c r="K7" s="195"/>
      <c r="L7" s="27">
        <f t="shared" si="4"/>
        <v>389.56275576675074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170160</v>
      </c>
      <c r="E8" s="1">
        <v>189392</v>
      </c>
      <c r="F8" s="41">
        <f t="shared" si="0"/>
        <v>19.231999999999999</v>
      </c>
      <c r="G8" s="22">
        <f t="shared" si="1"/>
        <v>76.344084777123626</v>
      </c>
      <c r="H8" s="45">
        <f t="shared" si="2"/>
        <v>13.571487810484989</v>
      </c>
      <c r="I8" s="42">
        <f t="shared" si="3"/>
        <v>89.915572587608608</v>
      </c>
      <c r="J8" s="30">
        <f t="shared" si="5"/>
        <v>310</v>
      </c>
      <c r="K8" s="195"/>
      <c r="L8" s="27">
        <f t="shared" si="4"/>
        <v>399.91557258760861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4918373</v>
      </c>
      <c r="E9" s="1">
        <v>4941487</v>
      </c>
      <c r="F9" s="41">
        <f t="shared" si="0"/>
        <v>23.114000000000001</v>
      </c>
      <c r="G9" s="22">
        <f t="shared" si="1"/>
        <v>91.754220857863743</v>
      </c>
      <c r="H9" s="45">
        <f t="shared" si="2"/>
        <v>13.571487810484989</v>
      </c>
      <c r="I9" s="42">
        <f t="shared" si="3"/>
        <v>105.32570866834874</v>
      </c>
      <c r="J9" s="30">
        <f t="shared" si="5"/>
        <v>310</v>
      </c>
      <c r="K9" s="195"/>
      <c r="L9" s="27">
        <f t="shared" si="4"/>
        <v>415.32570866834874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1971549</v>
      </c>
      <c r="E10" s="1">
        <v>1981660</v>
      </c>
      <c r="F10" s="41">
        <f t="shared" si="0"/>
        <v>10.111000000000001</v>
      </c>
      <c r="G10" s="22">
        <f t="shared" si="1"/>
        <v>40.137013372582004</v>
      </c>
      <c r="H10" s="45">
        <f t="shared" si="2"/>
        <v>13.571487810484989</v>
      </c>
      <c r="I10" s="42">
        <f t="shared" si="3"/>
        <v>53.708501183066993</v>
      </c>
      <c r="J10" s="30">
        <f t="shared" si="5"/>
        <v>310</v>
      </c>
      <c r="K10" s="195"/>
      <c r="L10" s="27">
        <f t="shared" si="4"/>
        <v>363.70850118306697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4019336</v>
      </c>
      <c r="E11" s="1">
        <v>4050827</v>
      </c>
      <c r="F11" s="41">
        <f t="shared" si="0"/>
        <v>31.491</v>
      </c>
      <c r="G11" s="22">
        <f t="shared" si="1"/>
        <v>125.00788132884776</v>
      </c>
      <c r="H11" s="45">
        <f t="shared" si="2"/>
        <v>13.571487810484989</v>
      </c>
      <c r="I11" s="42">
        <f t="shared" si="3"/>
        <v>138.57936913933275</v>
      </c>
      <c r="J11" s="30">
        <f t="shared" si="5"/>
        <v>310</v>
      </c>
      <c r="K11" s="195">
        <v>10</v>
      </c>
      <c r="L11" s="27">
        <f t="shared" si="4"/>
        <v>458.57936913933275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4353651</v>
      </c>
      <c r="E12" s="1">
        <v>4381012</v>
      </c>
      <c r="F12" s="41">
        <f>(E12-D12)*$N$1</f>
        <v>27.361000000000001</v>
      </c>
      <c r="G12" s="22">
        <f t="shared" si="1"/>
        <v>108.61327493692178</v>
      </c>
      <c r="H12" s="45">
        <f t="shared" si="2"/>
        <v>13.571487810484989</v>
      </c>
      <c r="I12" s="42">
        <f t="shared" si="3"/>
        <v>122.18476274740678</v>
      </c>
      <c r="J12" s="30">
        <f t="shared" si="5"/>
        <v>310</v>
      </c>
      <c r="K12" s="195"/>
      <c r="L12" s="27">
        <f t="shared" si="4"/>
        <v>432.18476274740681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3616362</v>
      </c>
      <c r="E13" s="1">
        <v>3632070</v>
      </c>
      <c r="F13" s="41">
        <f t="shared" si="0"/>
        <v>15.708</v>
      </c>
      <c r="G13" s="22">
        <f t="shared" si="1"/>
        <v>62.355079226240534</v>
      </c>
      <c r="H13" s="45">
        <f t="shared" si="2"/>
        <v>13.571487810484989</v>
      </c>
      <c r="I13" s="42">
        <f t="shared" si="3"/>
        <v>75.926567036725515</v>
      </c>
      <c r="J13" s="30">
        <f t="shared" si="5"/>
        <v>310</v>
      </c>
      <c r="K13" s="195"/>
      <c r="L13" s="27">
        <f t="shared" si="4"/>
        <v>385.92656703672549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1662563</v>
      </c>
      <c r="E14" s="1">
        <v>1689979</v>
      </c>
      <c r="F14" s="41">
        <f t="shared" si="0"/>
        <v>27.416</v>
      </c>
      <c r="G14" s="22">
        <f t="shared" si="1"/>
        <v>108.83160504625735</v>
      </c>
      <c r="H14" s="45">
        <f t="shared" si="2"/>
        <v>13.571487810484989</v>
      </c>
      <c r="I14" s="42">
        <f t="shared" si="3"/>
        <v>122.40309285674235</v>
      </c>
      <c r="J14" s="30">
        <f t="shared" si="5"/>
        <v>310</v>
      </c>
      <c r="K14" s="195"/>
      <c r="L14" s="27">
        <f t="shared" si="4"/>
        <v>432.40309285674232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2231885</v>
      </c>
      <c r="E15" s="1">
        <v>2237387</v>
      </c>
      <c r="F15" s="41">
        <f t="shared" si="0"/>
        <v>5.5019999999999998</v>
      </c>
      <c r="G15" s="22">
        <f t="shared" si="1"/>
        <v>21.840950210260722</v>
      </c>
      <c r="H15" s="45">
        <f t="shared" si="2"/>
        <v>13.571487810484989</v>
      </c>
      <c r="I15" s="42">
        <f t="shared" si="3"/>
        <v>35.412438020745711</v>
      </c>
      <c r="J15" s="30">
        <f t="shared" si="5"/>
        <v>310</v>
      </c>
      <c r="K15" s="195">
        <v>10</v>
      </c>
      <c r="L15" s="27">
        <f t="shared" si="4"/>
        <v>355.4124380207457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5587039</v>
      </c>
      <c r="E16" s="1">
        <v>5592858</v>
      </c>
      <c r="F16" s="41">
        <f t="shared" si="0"/>
        <v>5.819</v>
      </c>
      <c r="G16" s="22">
        <f t="shared" si="1"/>
        <v>23.09932556770395</v>
      </c>
      <c r="H16" s="45">
        <f t="shared" si="2"/>
        <v>13.571487810484989</v>
      </c>
      <c r="I16" s="42">
        <f t="shared" si="3"/>
        <v>36.670813378188939</v>
      </c>
      <c r="J16" s="30">
        <f t="shared" si="5"/>
        <v>310</v>
      </c>
      <c r="K16" s="195"/>
      <c r="L16" s="27">
        <f t="shared" si="4"/>
        <v>346.67081337818894</v>
      </c>
    </row>
    <row r="17" spans="1:12" ht="15" customHeight="1" x14ac:dyDescent="0.45">
      <c r="A17" s="318"/>
      <c r="B17" s="5" t="s">
        <v>3</v>
      </c>
      <c r="C17" s="2">
        <v>403</v>
      </c>
      <c r="D17" s="1">
        <v>3007615</v>
      </c>
      <c r="E17" s="1">
        <v>3007624</v>
      </c>
      <c r="F17" s="41">
        <f t="shared" si="0"/>
        <v>9.0000000000000011E-3</v>
      </c>
      <c r="G17" s="22">
        <f t="shared" si="1"/>
        <v>3.5726745164003364E-2</v>
      </c>
      <c r="H17" s="45">
        <f t="shared" si="2"/>
        <v>13.571487810484989</v>
      </c>
      <c r="I17" s="42">
        <f t="shared" si="3"/>
        <v>13.607214555648993</v>
      </c>
      <c r="J17" s="30">
        <f t="shared" si="5"/>
        <v>310</v>
      </c>
      <c r="K17" s="195"/>
      <c r="L17" s="27">
        <f t="shared" si="4"/>
        <v>323.60721455564897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2661178</v>
      </c>
      <c r="E18" s="1">
        <v>2673141</v>
      </c>
      <c r="F18" s="41">
        <f t="shared" si="0"/>
        <v>11.963000000000001</v>
      </c>
      <c r="G18" s="22">
        <f t="shared" si="1"/>
        <v>47.488783599663584</v>
      </c>
      <c r="H18" s="45">
        <f t="shared" si="2"/>
        <v>13.571487810484989</v>
      </c>
      <c r="I18" s="42">
        <f t="shared" si="3"/>
        <v>61.060271410148573</v>
      </c>
      <c r="J18" s="30">
        <f t="shared" si="5"/>
        <v>310</v>
      </c>
      <c r="K18" s="195"/>
      <c r="L18" s="27">
        <f t="shared" si="4"/>
        <v>371.06027141014857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3890456</v>
      </c>
      <c r="E19" s="1">
        <v>3913149</v>
      </c>
      <c r="F19" s="41">
        <f t="shared" si="0"/>
        <v>22.693000000000001</v>
      </c>
      <c r="G19" s="22">
        <f t="shared" si="1"/>
        <v>90.083003111858702</v>
      </c>
      <c r="H19" s="45">
        <f t="shared" si="2"/>
        <v>13.571487810484989</v>
      </c>
      <c r="I19" s="42">
        <f t="shared" si="3"/>
        <v>103.65449092234368</v>
      </c>
      <c r="J19" s="30">
        <f t="shared" si="5"/>
        <v>310</v>
      </c>
      <c r="K19" s="195"/>
      <c r="L19" s="27">
        <f t="shared" si="4"/>
        <v>413.65449092234371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5829922</v>
      </c>
      <c r="E20" s="1">
        <v>5866254</v>
      </c>
      <c r="F20" s="41">
        <f t="shared" si="0"/>
        <v>36.332000000000001</v>
      </c>
      <c r="G20" s="22">
        <f t="shared" si="1"/>
        <v>144.22490058873001</v>
      </c>
      <c r="H20" s="45">
        <f t="shared" si="2"/>
        <v>13.571487810484989</v>
      </c>
      <c r="I20" s="42">
        <f t="shared" si="3"/>
        <v>157.796388399215</v>
      </c>
      <c r="J20" s="30">
        <f t="shared" si="5"/>
        <v>310</v>
      </c>
      <c r="K20" s="195"/>
      <c r="L20" s="27">
        <f t="shared" si="4"/>
        <v>467.796388399215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1967962</v>
      </c>
      <c r="E21" s="1">
        <v>1989663</v>
      </c>
      <c r="F21" s="41">
        <f t="shared" si="0"/>
        <v>21.701000000000001</v>
      </c>
      <c r="G21" s="22">
        <f t="shared" si="1"/>
        <v>86.145121867115222</v>
      </c>
      <c r="H21" s="45">
        <f t="shared" si="2"/>
        <v>13.571487810484989</v>
      </c>
      <c r="I21" s="42">
        <f t="shared" si="3"/>
        <v>99.716609677600218</v>
      </c>
      <c r="J21" s="30">
        <f t="shared" si="5"/>
        <v>310</v>
      </c>
      <c r="K21" s="195"/>
      <c r="L21" s="27">
        <f t="shared" si="4"/>
        <v>409.71660967760022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295490</v>
      </c>
      <c r="E22" s="1">
        <v>299179</v>
      </c>
      <c r="F22" s="41">
        <f t="shared" si="0"/>
        <v>3.6890000000000001</v>
      </c>
      <c r="G22" s="22">
        <f t="shared" si="1"/>
        <v>14.643995878889822</v>
      </c>
      <c r="H22" s="45">
        <f t="shared" si="2"/>
        <v>13.571487810484989</v>
      </c>
      <c r="I22" s="42">
        <f t="shared" si="3"/>
        <v>28.21548368937481</v>
      </c>
      <c r="J22" s="30">
        <f t="shared" si="5"/>
        <v>310</v>
      </c>
      <c r="K22" s="195"/>
      <c r="L22" s="27">
        <f t="shared" si="4"/>
        <v>338.21548368937482</v>
      </c>
    </row>
    <row r="23" spans="1:12" ht="15" customHeight="1" x14ac:dyDescent="0.45">
      <c r="A23" s="314"/>
      <c r="B23" s="5" t="s">
        <v>4</v>
      </c>
      <c r="C23" s="2">
        <v>101</v>
      </c>
      <c r="D23" s="1">
        <v>85942</v>
      </c>
      <c r="E23" s="1">
        <v>86963</v>
      </c>
      <c r="F23" s="41">
        <f>(E23-D23)*0.01</f>
        <v>10.210000000000001</v>
      </c>
      <c r="G23" s="22">
        <f t="shared" si="1"/>
        <v>40.530007569386036</v>
      </c>
      <c r="H23" s="45">
        <f t="shared" si="2"/>
        <v>13.571487810484989</v>
      </c>
      <c r="I23" s="42">
        <f t="shared" si="3"/>
        <v>54.101495379871025</v>
      </c>
      <c r="J23" s="30">
        <f t="shared" si="5"/>
        <v>310</v>
      </c>
      <c r="K23" s="195"/>
      <c r="L23" s="27">
        <f t="shared" si="4"/>
        <v>364.10149537987104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3518272</v>
      </c>
      <c r="E24" s="1">
        <v>3545473</v>
      </c>
      <c r="F24" s="41">
        <f t="shared" ref="F24:F32" si="6">(E24-D24)*$N$1</f>
        <v>27.201000000000001</v>
      </c>
      <c r="G24" s="22">
        <f t="shared" si="1"/>
        <v>107.97813280067282</v>
      </c>
      <c r="H24" s="45">
        <f t="shared" si="2"/>
        <v>13.571487810484989</v>
      </c>
      <c r="I24" s="42">
        <f t="shared" si="3"/>
        <v>121.54962061115782</v>
      </c>
      <c r="J24" s="30">
        <f t="shared" si="5"/>
        <v>310</v>
      </c>
      <c r="K24" s="195">
        <v>10</v>
      </c>
      <c r="L24" s="27">
        <f t="shared" si="4"/>
        <v>441.54962061115782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3491990</v>
      </c>
      <c r="E25" s="1">
        <v>3511444</v>
      </c>
      <c r="F25" s="41">
        <f t="shared" si="6"/>
        <v>19.454000000000001</v>
      </c>
      <c r="G25" s="22">
        <f t="shared" si="1"/>
        <v>77.225344491169039</v>
      </c>
      <c r="H25" s="45">
        <f t="shared" si="2"/>
        <v>13.571487810484989</v>
      </c>
      <c r="I25" s="42">
        <f t="shared" si="3"/>
        <v>90.796832301654035</v>
      </c>
      <c r="J25" s="30">
        <f t="shared" si="5"/>
        <v>310</v>
      </c>
      <c r="K25" s="195"/>
      <c r="L25" s="27">
        <f t="shared" si="4"/>
        <v>400.79683230165404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5310233</v>
      </c>
      <c r="E26" s="1">
        <v>5323652</v>
      </c>
      <c r="F26" s="41">
        <f t="shared" si="6"/>
        <v>13.419</v>
      </c>
      <c r="G26" s="22">
        <f t="shared" si="1"/>
        <v>53.268577039529013</v>
      </c>
      <c r="H26" s="45">
        <f t="shared" si="2"/>
        <v>13.571487810484989</v>
      </c>
      <c r="I26" s="42">
        <f t="shared" si="3"/>
        <v>66.840064850014002</v>
      </c>
      <c r="J26" s="30">
        <f t="shared" si="5"/>
        <v>310</v>
      </c>
      <c r="K26" s="195"/>
      <c r="L26" s="27">
        <f t="shared" si="4"/>
        <v>376.84006485001402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2808244</v>
      </c>
      <c r="E27" s="1">
        <v>2839739</v>
      </c>
      <c r="F27" s="41">
        <f t="shared" si="6"/>
        <v>31.495000000000001</v>
      </c>
      <c r="G27" s="22">
        <f t="shared" si="1"/>
        <v>125.02375988225398</v>
      </c>
      <c r="H27" s="45">
        <f t="shared" si="2"/>
        <v>13.571487810484989</v>
      </c>
      <c r="I27" s="42">
        <f t="shared" si="3"/>
        <v>138.59524769273898</v>
      </c>
      <c r="J27" s="30">
        <f t="shared" si="5"/>
        <v>310</v>
      </c>
      <c r="K27" s="195"/>
      <c r="L27" s="27">
        <f t="shared" si="4"/>
        <v>448.59524769273901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2582387</v>
      </c>
      <c r="E28" s="1">
        <v>2591799</v>
      </c>
      <c r="F28" s="41">
        <f t="shared" si="6"/>
        <v>9.4120000000000008</v>
      </c>
      <c r="G28" s="22">
        <f t="shared" si="1"/>
        <v>37.362236164844404</v>
      </c>
      <c r="H28" s="45">
        <f t="shared" si="2"/>
        <v>13.571487810484989</v>
      </c>
      <c r="I28" s="42">
        <f t="shared" si="3"/>
        <v>50.933723975329393</v>
      </c>
      <c r="J28" s="30">
        <f t="shared" si="5"/>
        <v>310</v>
      </c>
      <c r="K28" s="195"/>
      <c r="L28" s="27">
        <f t="shared" si="4"/>
        <v>360.93372397532937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2479373</v>
      </c>
      <c r="E29" s="1">
        <v>2498395</v>
      </c>
      <c r="F29" s="41">
        <f t="shared" si="6"/>
        <v>19.022000000000002</v>
      </c>
      <c r="G29" s="22">
        <f t="shared" si="1"/>
        <v>75.510460723296887</v>
      </c>
      <c r="H29" s="45">
        <f t="shared" si="2"/>
        <v>13.571487810484989</v>
      </c>
      <c r="I29" s="42">
        <f t="shared" si="3"/>
        <v>89.081948533781883</v>
      </c>
      <c r="J29" s="30">
        <f t="shared" si="5"/>
        <v>310</v>
      </c>
      <c r="K29" s="195"/>
      <c r="L29" s="27">
        <f t="shared" si="4"/>
        <v>399.08194853378188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2820726</v>
      </c>
      <c r="E30" s="1">
        <v>2835045</v>
      </c>
      <c r="F30" s="41">
        <f t="shared" si="6"/>
        <v>14.319000000000001</v>
      </c>
      <c r="G30" s="22">
        <f t="shared" si="1"/>
        <v>56.841251555929354</v>
      </c>
      <c r="H30" s="45">
        <f t="shared" si="2"/>
        <v>13.571487810484989</v>
      </c>
      <c r="I30" s="42">
        <f t="shared" si="3"/>
        <v>70.412739366414343</v>
      </c>
      <c r="J30" s="30">
        <f t="shared" si="5"/>
        <v>310</v>
      </c>
      <c r="K30" s="195"/>
      <c r="L30" s="27">
        <f t="shared" si="4"/>
        <v>380.41273936641437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4245430</v>
      </c>
      <c r="E31" s="1">
        <v>4254944</v>
      </c>
      <c r="F31" s="41">
        <f t="shared" si="6"/>
        <v>9.5139999999999993</v>
      </c>
      <c r="G31" s="22">
        <f t="shared" si="1"/>
        <v>37.767139276703105</v>
      </c>
      <c r="H31" s="45">
        <f t="shared" si="2"/>
        <v>13.571487810484989</v>
      </c>
      <c r="I31" s="42">
        <f t="shared" si="3"/>
        <v>51.338627087188094</v>
      </c>
      <c r="J31" s="30">
        <f t="shared" si="5"/>
        <v>310</v>
      </c>
      <c r="K31" s="195">
        <v>10</v>
      </c>
      <c r="L31" s="27">
        <f t="shared" si="4"/>
        <v>371.33862708718812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2577771</v>
      </c>
      <c r="E32" s="1">
        <v>2588441</v>
      </c>
      <c r="F32" s="41">
        <f t="shared" si="6"/>
        <v>10.67</v>
      </c>
      <c r="G32" s="22">
        <f t="shared" si="1"/>
        <v>42.356041211101761</v>
      </c>
      <c r="H32" s="45">
        <f t="shared" si="2"/>
        <v>13.571487810484989</v>
      </c>
      <c r="I32" s="42">
        <f t="shared" si="3"/>
        <v>55.92752902158675</v>
      </c>
      <c r="J32" s="30">
        <f t="shared" si="5"/>
        <v>310</v>
      </c>
      <c r="K32" s="195"/>
      <c r="L32" s="27">
        <f t="shared" si="4"/>
        <v>365.92752902158674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118753</v>
      </c>
      <c r="E33" s="1">
        <v>120128</v>
      </c>
      <c r="F33" s="41">
        <f>(E33-D33)*0.01</f>
        <v>13.75</v>
      </c>
      <c r="G33" s="22">
        <f t="shared" si="1"/>
        <v>54.582527333894021</v>
      </c>
      <c r="H33" s="45">
        <f t="shared" si="2"/>
        <v>13.571487810484989</v>
      </c>
      <c r="I33" s="42">
        <f t="shared" si="3"/>
        <v>68.154015144379002</v>
      </c>
      <c r="J33" s="30">
        <f t="shared" si="5"/>
        <v>310</v>
      </c>
      <c r="K33" s="195"/>
      <c r="L33" s="27">
        <f t="shared" si="4"/>
        <v>378.154015144379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3461949</v>
      </c>
      <c r="E34" s="1">
        <v>3485265</v>
      </c>
      <c r="F34" s="41">
        <f t="shared" ref="F34:F42" si="7">(E34-D34)*$N$1</f>
        <v>23.315999999999999</v>
      </c>
      <c r="G34" s="22">
        <f t="shared" si="1"/>
        <v>92.556087804878032</v>
      </c>
      <c r="H34" s="45">
        <f t="shared" si="2"/>
        <v>13.571487810484989</v>
      </c>
      <c r="I34" s="42">
        <f t="shared" si="3"/>
        <v>106.12757561536301</v>
      </c>
      <c r="J34" s="30">
        <f t="shared" si="5"/>
        <v>310</v>
      </c>
      <c r="K34" s="195"/>
      <c r="L34" s="27">
        <f t="shared" si="4"/>
        <v>416.12757561536301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3313456</v>
      </c>
      <c r="E35" s="1">
        <v>3331820</v>
      </c>
      <c r="F35" s="41">
        <f t="shared" si="7"/>
        <v>18.364000000000001</v>
      </c>
      <c r="G35" s="22">
        <f t="shared" si="1"/>
        <v>72.898438687973083</v>
      </c>
      <c r="H35" s="45">
        <f t="shared" si="2"/>
        <v>13.571487810484989</v>
      </c>
      <c r="I35" s="42">
        <f t="shared" si="3"/>
        <v>86.469926498458079</v>
      </c>
      <c r="J35" s="30">
        <f t="shared" si="5"/>
        <v>310</v>
      </c>
      <c r="K35" s="195">
        <v>10</v>
      </c>
      <c r="L35" s="27">
        <f t="shared" si="4"/>
        <v>406.46992649845811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1351378</v>
      </c>
      <c r="E36" s="1">
        <v>1368254</v>
      </c>
      <c r="F36" s="41">
        <f t="shared" si="7"/>
        <v>16.876000000000001</v>
      </c>
      <c r="G36" s="22">
        <f t="shared" si="1"/>
        <v>66.991616820857857</v>
      </c>
      <c r="H36" s="45">
        <f t="shared" si="2"/>
        <v>13.571487810484989</v>
      </c>
      <c r="I36" s="42">
        <f t="shared" si="3"/>
        <v>80.563104631342839</v>
      </c>
      <c r="J36" s="30">
        <f t="shared" si="5"/>
        <v>310</v>
      </c>
      <c r="K36" s="195"/>
      <c r="L36" s="27">
        <f t="shared" si="4"/>
        <v>390.56310463134287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14008</v>
      </c>
      <c r="E37" s="1">
        <v>14009</v>
      </c>
      <c r="F37" s="41">
        <f t="shared" si="7"/>
        <v>1E-3</v>
      </c>
      <c r="G37" s="22">
        <f t="shared" si="1"/>
        <v>3.9696383515559295E-3</v>
      </c>
      <c r="H37" s="45">
        <f t="shared" si="2"/>
        <v>13.571487810484989</v>
      </c>
      <c r="I37" s="42">
        <f t="shared" si="3"/>
        <v>13.575457448836545</v>
      </c>
      <c r="J37" s="30">
        <f t="shared" si="5"/>
        <v>310</v>
      </c>
      <c r="K37" s="195"/>
      <c r="L37" s="27">
        <f t="shared" si="4"/>
        <v>323.57545744883657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3895037</v>
      </c>
      <c r="E38" s="1">
        <v>3917140</v>
      </c>
      <c r="F38" s="41">
        <f t="shared" si="7"/>
        <v>22.103000000000002</v>
      </c>
      <c r="G38" s="22">
        <f t="shared" si="1"/>
        <v>87.740916484440703</v>
      </c>
      <c r="H38" s="45">
        <f t="shared" si="2"/>
        <v>13.571487810484989</v>
      </c>
      <c r="I38" s="42">
        <f t="shared" si="3"/>
        <v>101.3124042949257</v>
      </c>
      <c r="J38" s="30">
        <f t="shared" si="5"/>
        <v>310</v>
      </c>
      <c r="K38" s="195"/>
      <c r="L38" s="27">
        <f t="shared" si="4"/>
        <v>411.31240429492573</v>
      </c>
    </row>
    <row r="39" spans="1:12" ht="15" customHeight="1" x14ac:dyDescent="0.45">
      <c r="A39" s="314"/>
      <c r="B39" s="5" t="s">
        <v>4</v>
      </c>
      <c r="C39" s="2">
        <v>501</v>
      </c>
      <c r="D39" s="1">
        <v>5165224</v>
      </c>
      <c r="E39" s="1">
        <v>5210011</v>
      </c>
      <c r="F39" s="41">
        <f t="shared" si="7"/>
        <v>44.786999999999999</v>
      </c>
      <c r="G39" s="22">
        <f t="shared" si="1"/>
        <v>177.78819285113539</v>
      </c>
      <c r="H39" s="45">
        <f t="shared" si="2"/>
        <v>13.571487810484989</v>
      </c>
      <c r="I39" s="42">
        <f t="shared" si="3"/>
        <v>191.35968066162039</v>
      </c>
      <c r="J39" s="30">
        <f t="shared" si="5"/>
        <v>310</v>
      </c>
      <c r="K39" s="195">
        <v>10</v>
      </c>
      <c r="L39" s="27">
        <f t="shared" si="4"/>
        <v>511.35968066162036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6730683</v>
      </c>
      <c r="E40" s="1">
        <v>6756489</v>
      </c>
      <c r="F40" s="41">
        <f t="shared" si="7"/>
        <v>25.806000000000001</v>
      </c>
      <c r="G40" s="22">
        <f t="shared" si="1"/>
        <v>102.44048730025231</v>
      </c>
      <c r="H40" s="45">
        <f t="shared" si="2"/>
        <v>13.571487810484989</v>
      </c>
      <c r="I40" s="42">
        <f t="shared" si="3"/>
        <v>116.0119751107373</v>
      </c>
      <c r="J40" s="30">
        <f t="shared" si="5"/>
        <v>310</v>
      </c>
      <c r="K40" s="195"/>
      <c r="L40" s="27">
        <f t="shared" si="4"/>
        <v>426.0119751107373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3795734</v>
      </c>
      <c r="E41" s="1">
        <v>3818113</v>
      </c>
      <c r="F41" s="41">
        <f t="shared" si="7"/>
        <v>22.379000000000001</v>
      </c>
      <c r="G41" s="22">
        <f t="shared" si="1"/>
        <v>88.836536669470135</v>
      </c>
      <c r="H41" s="45">
        <f t="shared" si="2"/>
        <v>13.571487810484989</v>
      </c>
      <c r="I41" s="42">
        <f t="shared" si="3"/>
        <v>102.40802447995512</v>
      </c>
      <c r="J41" s="30">
        <f t="shared" si="5"/>
        <v>310</v>
      </c>
      <c r="K41" s="195">
        <v>10</v>
      </c>
      <c r="L41" s="27">
        <f t="shared" si="4"/>
        <v>422.40802447995509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2975778</v>
      </c>
      <c r="E42" s="1">
        <v>2984468</v>
      </c>
      <c r="F42" s="41">
        <f t="shared" si="7"/>
        <v>8.69</v>
      </c>
      <c r="G42" s="22">
        <f t="shared" si="1"/>
        <v>34.496157275021019</v>
      </c>
      <c r="H42" s="45">
        <f t="shared" si="2"/>
        <v>13.571487810484989</v>
      </c>
      <c r="I42" s="42">
        <f t="shared" si="3"/>
        <v>48.067645085506008</v>
      </c>
      <c r="J42" s="30">
        <f t="shared" si="5"/>
        <v>310</v>
      </c>
      <c r="K42" s="195"/>
      <c r="L42" s="27">
        <f t="shared" si="4"/>
        <v>358.067645085506</v>
      </c>
    </row>
    <row r="43" spans="1:12" ht="15" customHeight="1" x14ac:dyDescent="0.45">
      <c r="A43" s="318"/>
      <c r="B43" s="5" t="s">
        <v>5</v>
      </c>
      <c r="C43" s="2">
        <v>101</v>
      </c>
      <c r="D43" s="1">
        <v>31231</v>
      </c>
      <c r="E43" s="1">
        <v>31991</v>
      </c>
      <c r="F43" s="41">
        <f>(E43-D43)*0.01</f>
        <v>7.6000000000000005</v>
      </c>
      <c r="G43" s="22">
        <f t="shared" si="1"/>
        <v>30.169251471825064</v>
      </c>
      <c r="H43" s="45">
        <f t="shared" si="2"/>
        <v>13.571487810484989</v>
      </c>
      <c r="I43" s="42">
        <f t="shared" si="3"/>
        <v>43.740739282310052</v>
      </c>
      <c r="J43" s="30">
        <f t="shared" si="5"/>
        <v>310</v>
      </c>
      <c r="K43" s="195"/>
      <c r="L43" s="27">
        <f t="shared" si="4"/>
        <v>353.74073928231007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2984639</v>
      </c>
      <c r="E44" s="1">
        <v>2997958</v>
      </c>
      <c r="F44" s="41">
        <f t="shared" ref="F44:F56" si="8">(E44-D44)*$N$1</f>
        <v>13.319000000000001</v>
      </c>
      <c r="G44" s="22">
        <f t="shared" si="1"/>
        <v>52.871613204373425</v>
      </c>
      <c r="H44" s="45">
        <f t="shared" si="2"/>
        <v>13.571487810484989</v>
      </c>
      <c r="I44" s="42">
        <f t="shared" si="3"/>
        <v>66.443101014858414</v>
      </c>
      <c r="J44" s="30">
        <f t="shared" si="5"/>
        <v>310</v>
      </c>
      <c r="K44" s="195"/>
      <c r="L44" s="27">
        <f t="shared" si="4"/>
        <v>376.44310101485843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986841</v>
      </c>
      <c r="E45" s="1">
        <v>986841</v>
      </c>
      <c r="F45" s="41">
        <f t="shared" si="8"/>
        <v>0</v>
      </c>
      <c r="G45" s="22">
        <f t="shared" si="1"/>
        <v>0</v>
      </c>
      <c r="H45" s="45">
        <f t="shared" si="2"/>
        <v>13.571487810484989</v>
      </c>
      <c r="I45" s="42">
        <f t="shared" si="3"/>
        <v>13.571487810484989</v>
      </c>
      <c r="J45" s="30">
        <f t="shared" si="5"/>
        <v>310</v>
      </c>
      <c r="K45" s="195"/>
      <c r="L45" s="27">
        <f t="shared" si="4"/>
        <v>323.571487810485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4265978</v>
      </c>
      <c r="E46" s="1">
        <v>4287723</v>
      </c>
      <c r="F46" s="41">
        <f t="shared" si="8"/>
        <v>21.745000000000001</v>
      </c>
      <c r="G46" s="22">
        <f t="shared" si="1"/>
        <v>86.319785954583679</v>
      </c>
      <c r="H46" s="45">
        <f t="shared" si="2"/>
        <v>13.571487810484989</v>
      </c>
      <c r="I46" s="42">
        <f t="shared" si="3"/>
        <v>99.891273765068661</v>
      </c>
      <c r="J46" s="30">
        <f t="shared" si="5"/>
        <v>310</v>
      </c>
      <c r="K46" s="195"/>
      <c r="L46" s="27">
        <f t="shared" si="4"/>
        <v>409.89127376506866</v>
      </c>
    </row>
    <row r="47" spans="1:12" ht="15" customHeight="1" x14ac:dyDescent="0.45">
      <c r="A47" s="318"/>
      <c r="B47" s="5" t="s">
        <v>5</v>
      </c>
      <c r="C47" s="2">
        <v>201</v>
      </c>
      <c r="D47" s="1">
        <v>4068608</v>
      </c>
      <c r="E47" s="1">
        <v>4101378</v>
      </c>
      <c r="F47" s="41">
        <f t="shared" si="8"/>
        <v>32.770000000000003</v>
      </c>
      <c r="G47" s="22">
        <f t="shared" si="1"/>
        <v>130.0850487804878</v>
      </c>
      <c r="H47" s="45">
        <f t="shared" si="2"/>
        <v>13.571487810484989</v>
      </c>
      <c r="I47" s="42">
        <f t="shared" si="3"/>
        <v>143.65653659097279</v>
      </c>
      <c r="J47" s="30">
        <f t="shared" si="5"/>
        <v>310</v>
      </c>
      <c r="K47" s="195"/>
      <c r="L47" s="27">
        <f t="shared" si="4"/>
        <v>453.65653659097279</v>
      </c>
    </row>
    <row r="48" spans="1:12" ht="15" customHeight="1" x14ac:dyDescent="0.45">
      <c r="A48" s="318"/>
      <c r="B48" s="5" t="s">
        <v>5</v>
      </c>
      <c r="C48" s="2">
        <v>202</v>
      </c>
      <c r="D48" s="1">
        <v>3112660</v>
      </c>
      <c r="E48" s="1">
        <v>3145349</v>
      </c>
      <c r="F48" s="41">
        <f t="shared" si="8"/>
        <v>32.689</v>
      </c>
      <c r="G48" s="22">
        <f t="shared" si="1"/>
        <v>129.76350807401175</v>
      </c>
      <c r="H48" s="45">
        <f t="shared" si="2"/>
        <v>13.571487810484989</v>
      </c>
      <c r="I48" s="42">
        <f t="shared" si="3"/>
        <v>143.33499588449675</v>
      </c>
      <c r="J48" s="30">
        <f t="shared" si="5"/>
        <v>310</v>
      </c>
      <c r="K48" s="195"/>
      <c r="L48" s="27">
        <f t="shared" si="4"/>
        <v>453.33499588449672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2430581</v>
      </c>
      <c r="E49" s="1">
        <v>2443534</v>
      </c>
      <c r="F49" s="41">
        <f t="shared" si="8"/>
        <v>12.952999999999999</v>
      </c>
      <c r="G49" s="22">
        <f t="shared" si="1"/>
        <v>51.418725567703945</v>
      </c>
      <c r="H49" s="45">
        <f t="shared" si="2"/>
        <v>13.571487810484989</v>
      </c>
      <c r="I49" s="42">
        <f t="shared" si="3"/>
        <v>64.99021337818894</v>
      </c>
      <c r="J49" s="30">
        <f t="shared" si="5"/>
        <v>310</v>
      </c>
      <c r="K49" s="195"/>
      <c r="L49" s="27">
        <f t="shared" si="4"/>
        <v>374.99021337818897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2350708</v>
      </c>
      <c r="E50" s="1">
        <v>2360757</v>
      </c>
      <c r="F50" s="41">
        <f t="shared" si="8"/>
        <v>10.048999999999999</v>
      </c>
      <c r="G50" s="22">
        <f t="shared" si="1"/>
        <v>39.890895794785528</v>
      </c>
      <c r="H50" s="45">
        <f t="shared" si="2"/>
        <v>13.571487810484989</v>
      </c>
      <c r="I50" s="42">
        <f t="shared" si="3"/>
        <v>53.462383605270517</v>
      </c>
      <c r="J50" s="30">
        <f t="shared" si="5"/>
        <v>310</v>
      </c>
      <c r="K50" s="195"/>
      <c r="L50" s="27">
        <f t="shared" si="4"/>
        <v>363.46238360527053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2748199</v>
      </c>
      <c r="E51" s="1">
        <v>2758009</v>
      </c>
      <c r="F51" s="41">
        <f t="shared" si="8"/>
        <v>9.81</v>
      </c>
      <c r="G51" s="22">
        <f t="shared" si="1"/>
        <v>38.942152228763668</v>
      </c>
      <c r="H51" s="45">
        <f t="shared" si="2"/>
        <v>13.571487810484989</v>
      </c>
      <c r="I51" s="42">
        <f t="shared" si="3"/>
        <v>52.513640039248656</v>
      </c>
      <c r="J51" s="30">
        <f t="shared" si="5"/>
        <v>310</v>
      </c>
      <c r="K51" s="195"/>
      <c r="L51" s="27">
        <f t="shared" si="4"/>
        <v>362.51364003924868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4136907</v>
      </c>
      <c r="E52" s="1">
        <v>4154629</v>
      </c>
      <c r="F52" s="41">
        <f t="shared" si="8"/>
        <v>17.722000000000001</v>
      </c>
      <c r="G52" s="22">
        <f t="shared" si="1"/>
        <v>70.349930866274178</v>
      </c>
      <c r="H52" s="45">
        <f t="shared" si="2"/>
        <v>13.571487810484989</v>
      </c>
      <c r="I52" s="42">
        <f t="shared" si="3"/>
        <v>83.921418676759174</v>
      </c>
      <c r="J52" s="30">
        <f t="shared" si="5"/>
        <v>310</v>
      </c>
      <c r="K52" s="195">
        <v>10</v>
      </c>
      <c r="L52" s="27">
        <f t="shared" si="4"/>
        <v>403.92141867675917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3716086</v>
      </c>
      <c r="E53" s="1">
        <v>3725247</v>
      </c>
      <c r="F53" s="41">
        <f t="shared" si="8"/>
        <v>9.1609999999999996</v>
      </c>
      <c r="G53" s="22">
        <f t="shared" si="1"/>
        <v>36.365856938603862</v>
      </c>
      <c r="H53" s="45">
        <f t="shared" si="2"/>
        <v>13.571487810484989</v>
      </c>
      <c r="I53" s="42">
        <f t="shared" si="3"/>
        <v>49.937344749088851</v>
      </c>
      <c r="J53" s="30">
        <f t="shared" si="5"/>
        <v>310</v>
      </c>
      <c r="K53" s="195"/>
      <c r="L53" s="27">
        <f t="shared" si="4"/>
        <v>359.93734474908888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2960990</v>
      </c>
      <c r="E54" s="1">
        <v>2970503</v>
      </c>
      <c r="F54" s="41">
        <f t="shared" si="8"/>
        <v>9.5129999999999999</v>
      </c>
      <c r="G54" s="22">
        <f t="shared" si="1"/>
        <v>37.763169638351556</v>
      </c>
      <c r="H54" s="45">
        <f t="shared" si="2"/>
        <v>13.571487810484989</v>
      </c>
      <c r="I54" s="42">
        <f t="shared" si="3"/>
        <v>51.334657448836545</v>
      </c>
      <c r="J54" s="30">
        <f t="shared" si="5"/>
        <v>310</v>
      </c>
      <c r="K54" s="195"/>
      <c r="L54" s="27">
        <f t="shared" si="4"/>
        <v>361.33465744883654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3060461</v>
      </c>
      <c r="E55" s="1">
        <v>3069794</v>
      </c>
      <c r="F55" s="41">
        <f t="shared" si="8"/>
        <v>9.3330000000000002</v>
      </c>
      <c r="G55" s="22">
        <f t="shared" si="1"/>
        <v>37.048634735071488</v>
      </c>
      <c r="H55" s="45">
        <f t="shared" si="2"/>
        <v>13.571487810484989</v>
      </c>
      <c r="I55" s="42">
        <f t="shared" si="3"/>
        <v>50.620122545556477</v>
      </c>
      <c r="J55" s="30">
        <f t="shared" si="5"/>
        <v>310</v>
      </c>
      <c r="K55" s="195"/>
      <c r="L55" s="27">
        <f t="shared" si="4"/>
        <v>360.62012254555646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1333470</v>
      </c>
      <c r="E56" s="1">
        <v>1339921</v>
      </c>
      <c r="F56" s="41">
        <f t="shared" si="8"/>
        <v>6.4510000000000005</v>
      </c>
      <c r="G56" s="22">
        <f t="shared" si="1"/>
        <v>25.608137005887301</v>
      </c>
      <c r="H56" s="45">
        <f t="shared" si="2"/>
        <v>13.571487810484989</v>
      </c>
      <c r="I56" s="42">
        <f t="shared" si="3"/>
        <v>39.179624816372289</v>
      </c>
      <c r="J56" s="30">
        <f t="shared" si="5"/>
        <v>310</v>
      </c>
      <c r="K56" s="195"/>
      <c r="L56" s="27">
        <f t="shared" si="4"/>
        <v>349.17962481637227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169352</v>
      </c>
      <c r="E57" s="1">
        <v>170982</v>
      </c>
      <c r="F57" s="41">
        <f>(E57-D57)*0.01</f>
        <v>16.3</v>
      </c>
      <c r="G57" s="22">
        <f t="shared" si="1"/>
        <v>64.705105130361645</v>
      </c>
      <c r="H57" s="45">
        <f t="shared" si="2"/>
        <v>13.571487810484989</v>
      </c>
      <c r="I57" s="42">
        <f t="shared" si="3"/>
        <v>78.276592940846626</v>
      </c>
      <c r="J57" s="30">
        <f t="shared" si="5"/>
        <v>310</v>
      </c>
      <c r="K57" s="195"/>
      <c r="L57" s="27">
        <f t="shared" si="4"/>
        <v>388.27659294084663</v>
      </c>
    </row>
    <row r="58" spans="1:12" ht="15" customHeight="1" x14ac:dyDescent="0.45">
      <c r="A58" s="318"/>
      <c r="B58" s="5" t="s">
        <v>5</v>
      </c>
      <c r="C58" s="2">
        <v>404</v>
      </c>
      <c r="D58" s="1">
        <v>2004650</v>
      </c>
      <c r="E58" s="1">
        <v>2016958</v>
      </c>
      <c r="F58" s="41">
        <f t="shared" ref="F58:F87" si="9">(E58-D58)*$N$1</f>
        <v>12.308</v>
      </c>
      <c r="G58" s="22">
        <f t="shared" si="1"/>
        <v>48.858308830950371</v>
      </c>
      <c r="H58" s="45">
        <f t="shared" si="2"/>
        <v>13.571487810484989</v>
      </c>
      <c r="I58" s="42">
        <f t="shared" si="3"/>
        <v>62.42979664143536</v>
      </c>
      <c r="J58" s="30">
        <f t="shared" si="5"/>
        <v>310</v>
      </c>
      <c r="K58" s="195"/>
      <c r="L58" s="27">
        <f t="shared" si="4"/>
        <v>372.42979664143536</v>
      </c>
    </row>
    <row r="59" spans="1:12" ht="15" customHeight="1" x14ac:dyDescent="0.45">
      <c r="A59" s="318"/>
      <c r="B59" s="5" t="s">
        <v>5</v>
      </c>
      <c r="C59" s="2">
        <v>501</v>
      </c>
      <c r="D59" s="1">
        <v>3120929</v>
      </c>
      <c r="E59" s="1">
        <v>3159392</v>
      </c>
      <c r="F59" s="41">
        <f t="shared" si="9"/>
        <v>38.463000000000001</v>
      </c>
      <c r="G59" s="22">
        <f t="shared" si="1"/>
        <v>152.6841999158957</v>
      </c>
      <c r="H59" s="45">
        <f t="shared" si="2"/>
        <v>13.571487810484989</v>
      </c>
      <c r="I59" s="42">
        <f t="shared" si="3"/>
        <v>166.2556877263807</v>
      </c>
      <c r="J59" s="30">
        <f t="shared" si="5"/>
        <v>310</v>
      </c>
      <c r="K59" s="195"/>
      <c r="L59" s="27">
        <f t="shared" si="4"/>
        <v>476.2556877263807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3522871</v>
      </c>
      <c r="E60" s="1">
        <v>3538064</v>
      </c>
      <c r="F60" s="41">
        <f t="shared" si="9"/>
        <v>15.193</v>
      </c>
      <c r="G60" s="22">
        <f t="shared" si="1"/>
        <v>60.310715475189227</v>
      </c>
      <c r="H60" s="45">
        <f t="shared" si="2"/>
        <v>13.571487810484989</v>
      </c>
      <c r="I60" s="42">
        <f t="shared" si="3"/>
        <v>73.882203285674223</v>
      </c>
      <c r="J60" s="30">
        <f t="shared" si="5"/>
        <v>310</v>
      </c>
      <c r="K60" s="195"/>
      <c r="L60" s="27">
        <f t="shared" si="4"/>
        <v>383.88220328567422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4563380</v>
      </c>
      <c r="E61" s="1">
        <v>4590046</v>
      </c>
      <c r="F61" s="41">
        <f t="shared" si="9"/>
        <v>26.666</v>
      </c>
      <c r="G61" s="22">
        <f t="shared" si="1"/>
        <v>105.85437628259041</v>
      </c>
      <c r="H61" s="45">
        <f t="shared" si="2"/>
        <v>13.571487810484989</v>
      </c>
      <c r="I61" s="42">
        <f t="shared" si="3"/>
        <v>119.4258640930754</v>
      </c>
      <c r="J61" s="30">
        <f t="shared" si="5"/>
        <v>310</v>
      </c>
      <c r="K61" s="195"/>
      <c r="L61" s="27">
        <f t="shared" si="4"/>
        <v>429.4258640930754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2194489</v>
      </c>
      <c r="E62" s="1">
        <v>2210920</v>
      </c>
      <c r="F62" s="41">
        <f t="shared" si="9"/>
        <v>16.431000000000001</v>
      </c>
      <c r="G62" s="22">
        <f t="shared" si="1"/>
        <v>65.225127754415468</v>
      </c>
      <c r="H62" s="45">
        <f t="shared" si="2"/>
        <v>13.571487810484989</v>
      </c>
      <c r="I62" s="42">
        <f t="shared" si="3"/>
        <v>78.796615564900463</v>
      </c>
      <c r="J62" s="30">
        <f t="shared" si="5"/>
        <v>310</v>
      </c>
      <c r="K62" s="195"/>
      <c r="L62" s="27">
        <f t="shared" si="4"/>
        <v>388.79661556490043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4939869</v>
      </c>
      <c r="E63" s="1">
        <v>4952771</v>
      </c>
      <c r="F63" s="41">
        <f t="shared" si="9"/>
        <v>12.902000000000001</v>
      </c>
      <c r="G63" s="22">
        <f t="shared" si="1"/>
        <v>51.216274011774601</v>
      </c>
      <c r="H63" s="45">
        <f t="shared" si="2"/>
        <v>13.571487810484989</v>
      </c>
      <c r="I63" s="42">
        <f t="shared" si="3"/>
        <v>64.787761822259597</v>
      </c>
      <c r="J63" s="30">
        <f t="shared" si="5"/>
        <v>310</v>
      </c>
      <c r="K63" s="195"/>
      <c r="L63" s="27">
        <f t="shared" si="4"/>
        <v>374.7877618222596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4690693</v>
      </c>
      <c r="E64" s="1">
        <v>4700880</v>
      </c>
      <c r="F64" s="41">
        <f t="shared" si="9"/>
        <v>10.186999999999999</v>
      </c>
      <c r="G64" s="22">
        <f t="shared" si="1"/>
        <v>40.438705887300245</v>
      </c>
      <c r="H64" s="45">
        <f t="shared" si="2"/>
        <v>13.571487810484989</v>
      </c>
      <c r="I64" s="42">
        <f t="shared" si="3"/>
        <v>54.010193697785233</v>
      </c>
      <c r="J64" s="30">
        <f t="shared" si="5"/>
        <v>310</v>
      </c>
      <c r="K64" s="195"/>
      <c r="L64" s="27">
        <f t="shared" si="4"/>
        <v>364.01019369778521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3444147</v>
      </c>
      <c r="E65" s="1">
        <v>3459780</v>
      </c>
      <c r="F65" s="41">
        <f t="shared" si="9"/>
        <v>15.633000000000001</v>
      </c>
      <c r="G65" s="22">
        <f t="shared" si="1"/>
        <v>62.057356349873842</v>
      </c>
      <c r="H65" s="45">
        <f t="shared" si="2"/>
        <v>13.571487810484989</v>
      </c>
      <c r="I65" s="42">
        <f t="shared" si="3"/>
        <v>75.628844160358824</v>
      </c>
      <c r="J65" s="30">
        <f t="shared" si="5"/>
        <v>310</v>
      </c>
      <c r="K65" s="195">
        <v>10</v>
      </c>
      <c r="L65" s="27">
        <f>SUM(I65,J65,K65)</f>
        <v>395.62884416035882</v>
      </c>
    </row>
    <row r="66" spans="1:12" ht="15" customHeight="1" x14ac:dyDescent="0.45">
      <c r="A66" s="314"/>
      <c r="B66" s="5" t="s">
        <v>6</v>
      </c>
      <c r="C66" s="2">
        <v>104</v>
      </c>
      <c r="D66" s="1">
        <v>201673</v>
      </c>
      <c r="E66" s="1">
        <v>228390</v>
      </c>
      <c r="F66" s="41">
        <f t="shared" si="9"/>
        <v>26.717000000000002</v>
      </c>
      <c r="G66" s="22">
        <f t="shared" si="1"/>
        <v>106.05682783851977</v>
      </c>
      <c r="H66" s="45">
        <f t="shared" si="2"/>
        <v>13.571487810484989</v>
      </c>
      <c r="I66" s="42">
        <f t="shared" si="3"/>
        <v>119.62831564900475</v>
      </c>
      <c r="J66" s="30">
        <f t="shared" si="5"/>
        <v>310</v>
      </c>
      <c r="K66" s="195"/>
      <c r="L66" s="27">
        <f t="shared" si="4"/>
        <v>429.62831564900478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4102083</v>
      </c>
      <c r="E67" s="1">
        <v>4113907</v>
      </c>
      <c r="F67" s="41">
        <f t="shared" si="9"/>
        <v>11.824</v>
      </c>
      <c r="G67" s="22">
        <f t="shared" si="1"/>
        <v>46.937003868797305</v>
      </c>
      <c r="H67" s="45">
        <f t="shared" si="2"/>
        <v>13.571487810484989</v>
      </c>
      <c r="I67" s="42">
        <f t="shared" si="3"/>
        <v>60.508491679282294</v>
      </c>
      <c r="J67" s="30">
        <f t="shared" si="5"/>
        <v>310</v>
      </c>
      <c r="K67" s="195"/>
      <c r="L67" s="27">
        <f>SUM(I67,J67,K67)</f>
        <v>370.50849167928232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4382725</v>
      </c>
      <c r="E68" s="1">
        <v>4417040</v>
      </c>
      <c r="F68" s="41">
        <f t="shared" si="9"/>
        <v>34.314999999999998</v>
      </c>
      <c r="G68" s="22">
        <f t="shared" ref="G68:G131" si="10">MMULT($G$1,1/$F$183)*F68</f>
        <v>136.2181400336417</v>
      </c>
      <c r="H68" s="45">
        <f t="shared" ref="H68:H131" si="11">MMULT($H$1,1/180)</f>
        <v>13.571487810484989</v>
      </c>
      <c r="I68" s="42">
        <f t="shared" ref="I68:I131" si="12">SUM(G68,H68)</f>
        <v>149.7896278441267</v>
      </c>
      <c r="J68" s="30">
        <f t="shared" si="5"/>
        <v>310</v>
      </c>
      <c r="K68" s="195"/>
      <c r="L68" s="27">
        <f t="shared" ref="L68:L131" si="13">SUM(I68,J68,K68)</f>
        <v>459.7896278441267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2502259</v>
      </c>
      <c r="E69" s="1">
        <v>2504254</v>
      </c>
      <c r="F69" s="41">
        <f t="shared" si="9"/>
        <v>1.9950000000000001</v>
      </c>
      <c r="G69" s="22">
        <f t="shared" si="10"/>
        <v>7.919428511354079</v>
      </c>
      <c r="H69" s="45">
        <f t="shared" si="11"/>
        <v>13.571487810484989</v>
      </c>
      <c r="I69" s="42">
        <f t="shared" si="12"/>
        <v>21.490916321839066</v>
      </c>
      <c r="J69" s="30">
        <f t="shared" ref="J69:J132" si="14">SUM($J$3)</f>
        <v>310</v>
      </c>
      <c r="K69" s="195"/>
      <c r="L69" s="27">
        <f t="shared" si="13"/>
        <v>331.49091632183905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2480057</v>
      </c>
      <c r="E70" s="1">
        <v>2495188</v>
      </c>
      <c r="F70" s="41">
        <f t="shared" si="9"/>
        <v>15.131</v>
      </c>
      <c r="G70" s="22">
        <f t="shared" si="10"/>
        <v>60.064597897392765</v>
      </c>
      <c r="H70" s="45">
        <f t="shared" si="11"/>
        <v>13.571487810484989</v>
      </c>
      <c r="I70" s="42">
        <f t="shared" si="12"/>
        <v>73.636085707877754</v>
      </c>
      <c r="J70" s="30">
        <f t="shared" si="14"/>
        <v>310</v>
      </c>
      <c r="K70" s="195"/>
      <c r="L70" s="27">
        <f t="shared" si="13"/>
        <v>383.63608570787778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3944718</v>
      </c>
      <c r="E71" s="1">
        <v>3960580</v>
      </c>
      <c r="F71" s="41">
        <f t="shared" si="9"/>
        <v>15.862</v>
      </c>
      <c r="G71" s="22">
        <f t="shared" si="10"/>
        <v>62.966403532380149</v>
      </c>
      <c r="H71" s="45">
        <f t="shared" si="11"/>
        <v>13.571487810484989</v>
      </c>
      <c r="I71" s="42">
        <f t="shared" si="12"/>
        <v>76.537891342865137</v>
      </c>
      <c r="J71" s="30">
        <f t="shared" si="14"/>
        <v>310</v>
      </c>
      <c r="K71" s="195"/>
      <c r="L71" s="27">
        <f t="shared" si="13"/>
        <v>386.53789134286512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3184528</v>
      </c>
      <c r="E72" s="1">
        <v>3200612</v>
      </c>
      <c r="F72" s="41">
        <f t="shared" si="9"/>
        <v>16.084</v>
      </c>
      <c r="G72" s="22">
        <f t="shared" si="10"/>
        <v>63.847663246425562</v>
      </c>
      <c r="H72" s="45">
        <f t="shared" si="11"/>
        <v>13.571487810484989</v>
      </c>
      <c r="I72" s="42">
        <f t="shared" si="12"/>
        <v>77.41915105691055</v>
      </c>
      <c r="J72" s="30">
        <f t="shared" si="14"/>
        <v>310</v>
      </c>
      <c r="K72" s="195"/>
      <c r="L72" s="27">
        <f t="shared" si="13"/>
        <v>387.41915105691055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3523050</v>
      </c>
      <c r="E73" s="1">
        <v>3530437</v>
      </c>
      <c r="F73" s="41">
        <f t="shared" si="9"/>
        <v>7.3870000000000005</v>
      </c>
      <c r="G73" s="22">
        <f t="shared" si="10"/>
        <v>29.323718502943649</v>
      </c>
      <c r="H73" s="45">
        <f t="shared" si="11"/>
        <v>13.571487810484989</v>
      </c>
      <c r="I73" s="42">
        <f t="shared" si="12"/>
        <v>42.895206313428638</v>
      </c>
      <c r="J73" s="30">
        <f t="shared" si="14"/>
        <v>310</v>
      </c>
      <c r="K73" s="195"/>
      <c r="L73" s="27">
        <f t="shared" si="13"/>
        <v>352.89520631342862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1519825</v>
      </c>
      <c r="E74" s="1">
        <v>1530378</v>
      </c>
      <c r="F74" s="41">
        <f t="shared" si="9"/>
        <v>10.553000000000001</v>
      </c>
      <c r="G74" s="22">
        <f t="shared" si="10"/>
        <v>41.891593523969725</v>
      </c>
      <c r="H74" s="45">
        <f t="shared" si="11"/>
        <v>13.571487810484989</v>
      </c>
      <c r="I74" s="42">
        <f t="shared" si="12"/>
        <v>55.463081334454714</v>
      </c>
      <c r="J74" s="30">
        <f t="shared" si="14"/>
        <v>310</v>
      </c>
      <c r="K74" s="195"/>
      <c r="L74" s="27">
        <f t="shared" si="13"/>
        <v>365.46308133445473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4818605</v>
      </c>
      <c r="E75" s="1">
        <v>4838536</v>
      </c>
      <c r="F75" s="41">
        <f t="shared" si="9"/>
        <v>19.931000000000001</v>
      </c>
      <c r="G75" s="22">
        <f t="shared" si="10"/>
        <v>79.118861984861226</v>
      </c>
      <c r="H75" s="45">
        <f t="shared" si="11"/>
        <v>13.571487810484989</v>
      </c>
      <c r="I75" s="42">
        <f t="shared" si="12"/>
        <v>92.690349795346208</v>
      </c>
      <c r="J75" s="30">
        <f t="shared" si="14"/>
        <v>310</v>
      </c>
      <c r="K75" s="195"/>
      <c r="L75" s="27">
        <f t="shared" si="13"/>
        <v>402.69034979534621</v>
      </c>
    </row>
    <row r="76" spans="1:12" ht="15" customHeight="1" x14ac:dyDescent="0.45">
      <c r="A76" s="314"/>
      <c r="B76" s="5" t="s">
        <v>6</v>
      </c>
      <c r="C76" s="2">
        <v>402</v>
      </c>
      <c r="D76" s="1">
        <v>3005932</v>
      </c>
      <c r="E76" s="1">
        <v>3030051</v>
      </c>
      <c r="F76" s="41">
        <f t="shared" si="9"/>
        <v>24.119</v>
      </c>
      <c r="G76" s="22">
        <f t="shared" si="10"/>
        <v>95.743707401177446</v>
      </c>
      <c r="H76" s="45">
        <f t="shared" si="11"/>
        <v>13.571487810484989</v>
      </c>
      <c r="I76" s="42">
        <f t="shared" si="12"/>
        <v>109.31519521166243</v>
      </c>
      <c r="J76" s="30">
        <f t="shared" si="14"/>
        <v>310</v>
      </c>
      <c r="K76" s="195">
        <v>10</v>
      </c>
      <c r="L76" s="27">
        <f t="shared" si="13"/>
        <v>429.3151952116624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2797754</v>
      </c>
      <c r="E77" s="1">
        <v>2824494</v>
      </c>
      <c r="F77" s="41">
        <f t="shared" si="9"/>
        <v>26.740000000000002</v>
      </c>
      <c r="G77" s="22">
        <f t="shared" si="10"/>
        <v>106.14812952060555</v>
      </c>
      <c r="H77" s="45">
        <f t="shared" si="11"/>
        <v>13.571487810484989</v>
      </c>
      <c r="I77" s="42">
        <f t="shared" si="12"/>
        <v>119.71961733109055</v>
      </c>
      <c r="J77" s="30">
        <f t="shared" si="14"/>
        <v>310</v>
      </c>
      <c r="K77" s="195"/>
      <c r="L77" s="27">
        <f t="shared" si="13"/>
        <v>429.71961733109055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2823088</v>
      </c>
      <c r="E78" s="1">
        <v>2841608</v>
      </c>
      <c r="F78" s="41">
        <f t="shared" si="9"/>
        <v>18.52</v>
      </c>
      <c r="G78" s="22">
        <f t="shared" si="10"/>
        <v>73.517702270815803</v>
      </c>
      <c r="H78" s="45">
        <f t="shared" si="11"/>
        <v>13.571487810484989</v>
      </c>
      <c r="I78" s="42">
        <f t="shared" si="12"/>
        <v>87.089190081300785</v>
      </c>
      <c r="J78" s="30">
        <f t="shared" si="14"/>
        <v>310</v>
      </c>
      <c r="K78" s="195"/>
      <c r="L78" s="27">
        <f t="shared" si="13"/>
        <v>397.08919008130079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4839591</v>
      </c>
      <c r="E79" s="1">
        <v>4873961</v>
      </c>
      <c r="F79" s="41">
        <f t="shared" si="9"/>
        <v>34.369999999999997</v>
      </c>
      <c r="G79" s="22">
        <f t="shared" si="10"/>
        <v>136.43647014297727</v>
      </c>
      <c r="H79" s="45">
        <f t="shared" si="11"/>
        <v>13.571487810484989</v>
      </c>
      <c r="I79" s="42">
        <f t="shared" si="12"/>
        <v>150.00795795346227</v>
      </c>
      <c r="J79" s="30">
        <f t="shared" si="14"/>
        <v>310</v>
      </c>
      <c r="K79" s="195"/>
      <c r="L79" s="27">
        <f t="shared" si="13"/>
        <v>460.00795795346227</v>
      </c>
    </row>
    <row r="80" spans="1:12" ht="15" customHeight="1" x14ac:dyDescent="0.45">
      <c r="A80" s="314"/>
      <c r="B80" s="5" t="s">
        <v>6</v>
      </c>
      <c r="C80" s="2">
        <v>502</v>
      </c>
      <c r="D80" s="1">
        <v>5007731</v>
      </c>
      <c r="E80" s="1">
        <v>5030116</v>
      </c>
      <c r="F80" s="41">
        <f t="shared" si="9"/>
        <v>22.385000000000002</v>
      </c>
      <c r="G80" s="22">
        <f t="shared" si="10"/>
        <v>88.860354499579472</v>
      </c>
      <c r="H80" s="45">
        <f t="shared" si="11"/>
        <v>13.571487810484989</v>
      </c>
      <c r="I80" s="42">
        <f t="shared" si="12"/>
        <v>102.43184231006447</v>
      </c>
      <c r="J80" s="30">
        <f t="shared" si="14"/>
        <v>310</v>
      </c>
      <c r="K80" s="195"/>
      <c r="L80" s="27">
        <f t="shared" si="13"/>
        <v>412.43184231006444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3221289</v>
      </c>
      <c r="E81" s="1">
        <v>3235402</v>
      </c>
      <c r="F81" s="41">
        <f t="shared" si="9"/>
        <v>14.113</v>
      </c>
      <c r="G81" s="22">
        <f t="shared" si="10"/>
        <v>56.023506055508825</v>
      </c>
      <c r="H81" s="45">
        <f t="shared" si="11"/>
        <v>13.571487810484989</v>
      </c>
      <c r="I81" s="42">
        <f t="shared" si="12"/>
        <v>69.594993865993814</v>
      </c>
      <c r="J81" s="30">
        <f t="shared" si="14"/>
        <v>310</v>
      </c>
      <c r="K81" s="195"/>
      <c r="L81" s="27">
        <f t="shared" si="13"/>
        <v>379.59499386599384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3602773</v>
      </c>
      <c r="E82" s="1">
        <v>3621797</v>
      </c>
      <c r="F82" s="41">
        <f t="shared" si="9"/>
        <v>19.024000000000001</v>
      </c>
      <c r="G82" s="22">
        <f t="shared" si="10"/>
        <v>75.5184</v>
      </c>
      <c r="H82" s="45">
        <f t="shared" si="11"/>
        <v>13.571487810484989</v>
      </c>
      <c r="I82" s="42">
        <f t="shared" si="12"/>
        <v>89.089887810484981</v>
      </c>
      <c r="J82" s="30">
        <f t="shared" si="14"/>
        <v>310</v>
      </c>
      <c r="K82" s="195"/>
      <c r="L82" s="27">
        <f t="shared" si="13"/>
        <v>399.08988781048498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4939457</v>
      </c>
      <c r="E83" s="1">
        <v>4971642</v>
      </c>
      <c r="F83" s="41">
        <f t="shared" si="9"/>
        <v>32.185000000000002</v>
      </c>
      <c r="G83" s="22">
        <f t="shared" si="10"/>
        <v>127.76281034482759</v>
      </c>
      <c r="H83" s="45">
        <f t="shared" si="11"/>
        <v>13.571487810484989</v>
      </c>
      <c r="I83" s="42">
        <f t="shared" si="12"/>
        <v>141.33429815531258</v>
      </c>
      <c r="J83" s="30">
        <f t="shared" si="14"/>
        <v>310</v>
      </c>
      <c r="K83" s="195"/>
      <c r="L83" s="27">
        <f t="shared" si="13"/>
        <v>451.33429815531258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1929399</v>
      </c>
      <c r="E84" s="1">
        <v>1949469</v>
      </c>
      <c r="F84" s="41">
        <f t="shared" si="9"/>
        <v>20.07</v>
      </c>
      <c r="G84" s="22">
        <f t="shared" si="10"/>
        <v>79.670641715727498</v>
      </c>
      <c r="H84" s="45">
        <f t="shared" si="11"/>
        <v>13.571487810484989</v>
      </c>
      <c r="I84" s="42">
        <f t="shared" si="12"/>
        <v>93.242129526212494</v>
      </c>
      <c r="J84" s="30">
        <f t="shared" si="14"/>
        <v>310</v>
      </c>
      <c r="K84" s="195"/>
      <c r="L84" s="27">
        <f t="shared" si="13"/>
        <v>403.24212952621247</v>
      </c>
    </row>
    <row r="85" spans="1:12" ht="15" customHeight="1" x14ac:dyDescent="0.45">
      <c r="A85" s="318"/>
      <c r="B85" s="5" t="s">
        <v>7</v>
      </c>
      <c r="C85" s="2">
        <v>103</v>
      </c>
      <c r="D85" s="1">
        <v>3046085</v>
      </c>
      <c r="E85" s="1">
        <v>3050364</v>
      </c>
      <c r="F85" s="41">
        <f t="shared" si="9"/>
        <v>4.2789999999999999</v>
      </c>
      <c r="G85" s="22">
        <f t="shared" si="10"/>
        <v>16.98608250630782</v>
      </c>
      <c r="H85" s="45">
        <f t="shared" si="11"/>
        <v>13.571487810484989</v>
      </c>
      <c r="I85" s="42">
        <f t="shared" si="12"/>
        <v>30.557570316792809</v>
      </c>
      <c r="J85" s="30">
        <f t="shared" si="14"/>
        <v>310</v>
      </c>
      <c r="K85" s="195"/>
      <c r="L85" s="27">
        <f t="shared" si="13"/>
        <v>340.55757031679281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2692273</v>
      </c>
      <c r="E86" s="1">
        <v>2708461</v>
      </c>
      <c r="F86" s="41">
        <f t="shared" si="9"/>
        <v>16.187999999999999</v>
      </c>
      <c r="G86" s="22">
        <f t="shared" si="10"/>
        <v>64.260505634987368</v>
      </c>
      <c r="H86" s="45">
        <f t="shared" si="11"/>
        <v>13.571487810484989</v>
      </c>
      <c r="I86" s="42">
        <f t="shared" si="12"/>
        <v>77.831993445472364</v>
      </c>
      <c r="J86" s="30">
        <f t="shared" si="14"/>
        <v>310</v>
      </c>
      <c r="K86" s="195"/>
      <c r="L86" s="27">
        <f t="shared" si="13"/>
        <v>387.83199344547234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5322008</v>
      </c>
      <c r="E87" s="1">
        <v>5357135</v>
      </c>
      <c r="F87" s="41">
        <f t="shared" si="9"/>
        <v>35.127000000000002</v>
      </c>
      <c r="G87" s="22">
        <f t="shared" si="10"/>
        <v>139.44148637510514</v>
      </c>
      <c r="H87" s="45">
        <f t="shared" si="11"/>
        <v>13.571487810484989</v>
      </c>
      <c r="I87" s="42">
        <f t="shared" si="12"/>
        <v>153.01297418559014</v>
      </c>
      <c r="J87" s="30">
        <f t="shared" si="14"/>
        <v>310</v>
      </c>
      <c r="K87" s="195"/>
      <c r="L87" s="27">
        <f t="shared" si="13"/>
        <v>463.01297418559011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28624</v>
      </c>
      <c r="E88" s="1">
        <v>28628</v>
      </c>
      <c r="F88" s="41">
        <f>(E88-D88)*0.01</f>
        <v>0.04</v>
      </c>
      <c r="G88" s="22">
        <f t="shared" si="10"/>
        <v>0.15878553406223717</v>
      </c>
      <c r="H88" s="45">
        <f t="shared" si="11"/>
        <v>13.571487810484989</v>
      </c>
      <c r="I88" s="42">
        <f t="shared" si="12"/>
        <v>13.730273344547227</v>
      </c>
      <c r="J88" s="30">
        <f t="shared" si="14"/>
        <v>310</v>
      </c>
      <c r="K88" s="195"/>
      <c r="L88" s="27">
        <f t="shared" si="13"/>
        <v>323.73027334454724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4639027</v>
      </c>
      <c r="E89" s="1">
        <v>4668271</v>
      </c>
      <c r="F89" s="41">
        <f>(E89-D89)*$N$1</f>
        <v>29.244</v>
      </c>
      <c r="G89" s="22">
        <f t="shared" si="10"/>
        <v>116.08810395290159</v>
      </c>
      <c r="H89" s="45">
        <f t="shared" si="11"/>
        <v>13.571487810484989</v>
      </c>
      <c r="I89" s="42">
        <f t="shared" si="12"/>
        <v>129.65959176338657</v>
      </c>
      <c r="J89" s="30">
        <f t="shared" si="14"/>
        <v>310</v>
      </c>
      <c r="K89" s="195"/>
      <c r="L89" s="27">
        <f t="shared" si="13"/>
        <v>439.65959176338657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133185</v>
      </c>
      <c r="E90" s="1">
        <v>133210</v>
      </c>
      <c r="F90" s="41">
        <f>(E90-D90)*0.01</f>
        <v>0.25</v>
      </c>
      <c r="G90" s="22">
        <f t="shared" si="10"/>
        <v>0.99240958788898226</v>
      </c>
      <c r="H90" s="45">
        <f t="shared" si="11"/>
        <v>13.571487810484989</v>
      </c>
      <c r="I90" s="42">
        <f t="shared" si="12"/>
        <v>14.563897398373971</v>
      </c>
      <c r="J90" s="30">
        <f t="shared" si="14"/>
        <v>310</v>
      </c>
      <c r="K90" s="195"/>
      <c r="L90" s="27">
        <f t="shared" si="13"/>
        <v>324.56389739837397</v>
      </c>
    </row>
    <row r="91" spans="1:12" ht="15" customHeight="1" x14ac:dyDescent="0.45">
      <c r="A91" s="318"/>
      <c r="B91" s="5" t="s">
        <v>7</v>
      </c>
      <c r="C91" s="2">
        <v>301</v>
      </c>
      <c r="D91" s="1">
        <v>5133337</v>
      </c>
      <c r="E91" s="1">
        <v>5157556</v>
      </c>
      <c r="F91" s="41">
        <f t="shared" ref="F91:F103" si="15">(E91-D91)*$N$1</f>
        <v>24.219000000000001</v>
      </c>
      <c r="G91" s="22">
        <f t="shared" si="10"/>
        <v>96.140671236333048</v>
      </c>
      <c r="H91" s="45">
        <f t="shared" si="11"/>
        <v>13.571487810484989</v>
      </c>
      <c r="I91" s="42">
        <f t="shared" si="12"/>
        <v>109.71215904681804</v>
      </c>
      <c r="J91" s="30">
        <f t="shared" si="14"/>
        <v>310</v>
      </c>
      <c r="K91" s="195">
        <v>10</v>
      </c>
      <c r="L91" s="27">
        <f t="shared" si="13"/>
        <v>429.71215904681804</v>
      </c>
    </row>
    <row r="92" spans="1:12" ht="15" customHeight="1" x14ac:dyDescent="0.45">
      <c r="A92" s="318"/>
      <c r="B92" s="5" t="s">
        <v>7</v>
      </c>
      <c r="C92" s="2">
        <v>302</v>
      </c>
      <c r="D92" s="1">
        <v>136645</v>
      </c>
      <c r="E92" s="1">
        <v>166543</v>
      </c>
      <c r="F92" s="41">
        <f t="shared" si="15"/>
        <v>29.898</v>
      </c>
      <c r="G92" s="22">
        <f t="shared" si="10"/>
        <v>118.68424743481917</v>
      </c>
      <c r="H92" s="45">
        <f t="shared" si="11"/>
        <v>13.571487810484989</v>
      </c>
      <c r="I92" s="42">
        <f t="shared" si="12"/>
        <v>132.25573524530415</v>
      </c>
      <c r="J92" s="30">
        <f t="shared" si="14"/>
        <v>310</v>
      </c>
      <c r="K92" s="195"/>
      <c r="L92" s="27">
        <f t="shared" si="13"/>
        <v>442.25573524530415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4976347</v>
      </c>
      <c r="E93" s="1">
        <v>5015853</v>
      </c>
      <c r="F93" s="41">
        <f t="shared" si="15"/>
        <v>39.506</v>
      </c>
      <c r="G93" s="22">
        <f t="shared" si="10"/>
        <v>156.82453271656854</v>
      </c>
      <c r="H93" s="45">
        <f t="shared" si="11"/>
        <v>13.571487810484989</v>
      </c>
      <c r="I93" s="42">
        <f t="shared" si="12"/>
        <v>170.39602052705354</v>
      </c>
      <c r="J93" s="30">
        <f t="shared" si="14"/>
        <v>310</v>
      </c>
      <c r="K93" s="195">
        <v>10</v>
      </c>
      <c r="L93" s="27">
        <f t="shared" si="13"/>
        <v>490.39602052705357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2506922</v>
      </c>
      <c r="E94" s="1">
        <v>2517319</v>
      </c>
      <c r="F94" s="41">
        <f t="shared" si="15"/>
        <v>10.397</v>
      </c>
      <c r="G94" s="22">
        <f t="shared" si="10"/>
        <v>41.272329941126998</v>
      </c>
      <c r="H94" s="45">
        <f t="shared" si="11"/>
        <v>13.571487810484989</v>
      </c>
      <c r="I94" s="42">
        <f t="shared" si="12"/>
        <v>54.843817751611986</v>
      </c>
      <c r="J94" s="30">
        <f t="shared" si="14"/>
        <v>310</v>
      </c>
      <c r="K94" s="195"/>
      <c r="L94" s="27">
        <f t="shared" si="13"/>
        <v>364.84381775161199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3908647</v>
      </c>
      <c r="E95" s="1">
        <v>3928852</v>
      </c>
      <c r="F95" s="41">
        <f t="shared" si="15"/>
        <v>20.205000000000002</v>
      </c>
      <c r="G95" s="22">
        <f t="shared" si="10"/>
        <v>80.20654289318756</v>
      </c>
      <c r="H95" s="45">
        <f t="shared" si="11"/>
        <v>13.571487810484989</v>
      </c>
      <c r="I95" s="42">
        <f t="shared" si="12"/>
        <v>93.778030703672556</v>
      </c>
      <c r="J95" s="30">
        <f t="shared" si="14"/>
        <v>310</v>
      </c>
      <c r="K95" s="195"/>
      <c r="L95" s="27">
        <f t="shared" si="13"/>
        <v>403.77803070367258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3351903</v>
      </c>
      <c r="E96" s="1">
        <v>3375130</v>
      </c>
      <c r="F96" s="41">
        <f t="shared" si="15"/>
        <v>23.227</v>
      </c>
      <c r="G96" s="22">
        <f t="shared" si="10"/>
        <v>92.202789991589569</v>
      </c>
      <c r="H96" s="45">
        <f t="shared" si="11"/>
        <v>13.571487810484989</v>
      </c>
      <c r="I96" s="42">
        <f t="shared" si="12"/>
        <v>105.77427780207455</v>
      </c>
      <c r="J96" s="30">
        <f t="shared" si="14"/>
        <v>310</v>
      </c>
      <c r="K96" s="195"/>
      <c r="L96" s="27">
        <f t="shared" si="13"/>
        <v>415.77427780207455</v>
      </c>
    </row>
    <row r="97" spans="1:12" ht="15" customHeight="1" x14ac:dyDescent="0.45">
      <c r="A97" s="318"/>
      <c r="B97" s="5" t="s">
        <v>7</v>
      </c>
      <c r="C97" s="2">
        <v>403</v>
      </c>
      <c r="D97" s="1">
        <v>3054381</v>
      </c>
      <c r="E97" s="1">
        <v>3065508</v>
      </c>
      <c r="F97" s="41">
        <f t="shared" si="15"/>
        <v>11.127000000000001</v>
      </c>
      <c r="G97" s="22">
        <f t="shared" si="10"/>
        <v>44.170165937762825</v>
      </c>
      <c r="H97" s="45">
        <f t="shared" si="11"/>
        <v>13.571487810484989</v>
      </c>
      <c r="I97" s="42">
        <f t="shared" si="12"/>
        <v>57.741653748247813</v>
      </c>
      <c r="J97" s="30">
        <f t="shared" si="14"/>
        <v>310</v>
      </c>
      <c r="K97" s="195"/>
      <c r="L97" s="27">
        <f t="shared" si="13"/>
        <v>367.74165374824781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3260403</v>
      </c>
      <c r="E98" s="1">
        <v>3274061</v>
      </c>
      <c r="F98" s="41">
        <f t="shared" si="15"/>
        <v>13.657999999999999</v>
      </c>
      <c r="G98" s="22">
        <f t="shared" si="10"/>
        <v>54.217320605550874</v>
      </c>
      <c r="H98" s="45">
        <f t="shared" si="11"/>
        <v>13.571487810484989</v>
      </c>
      <c r="I98" s="42">
        <f t="shared" si="12"/>
        <v>67.788808416035863</v>
      </c>
      <c r="J98" s="30">
        <f t="shared" si="14"/>
        <v>310</v>
      </c>
      <c r="K98" s="195"/>
      <c r="L98" s="27">
        <f t="shared" si="13"/>
        <v>377.78880841603586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2835629</v>
      </c>
      <c r="E99" s="1">
        <v>2854018</v>
      </c>
      <c r="F99" s="41">
        <f>(E99-D99)*$N$1</f>
        <v>18.388999999999999</v>
      </c>
      <c r="G99" s="22">
        <f t="shared" si="10"/>
        <v>72.997679646761981</v>
      </c>
      <c r="H99" s="45">
        <f t="shared" si="11"/>
        <v>13.571487810484989</v>
      </c>
      <c r="I99" s="42">
        <f t="shared" si="12"/>
        <v>86.569167457246976</v>
      </c>
      <c r="J99" s="30">
        <f t="shared" si="14"/>
        <v>310</v>
      </c>
      <c r="K99" s="195"/>
      <c r="L99" s="27">
        <f t="shared" si="13"/>
        <v>396.56916745724698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2575020</v>
      </c>
      <c r="E100" s="1">
        <v>2588834</v>
      </c>
      <c r="F100" s="41">
        <f t="shared" si="15"/>
        <v>13.814</v>
      </c>
      <c r="G100" s="22">
        <f t="shared" si="10"/>
        <v>54.836584188393601</v>
      </c>
      <c r="H100" s="45">
        <f t="shared" si="11"/>
        <v>13.571487810484989</v>
      </c>
      <c r="I100" s="42">
        <f t="shared" si="12"/>
        <v>68.408071998878597</v>
      </c>
      <c r="J100" s="30">
        <f t="shared" si="14"/>
        <v>310</v>
      </c>
      <c r="K100" s="195"/>
      <c r="L100" s="27">
        <f t="shared" si="13"/>
        <v>378.4080719988786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3218139</v>
      </c>
      <c r="E101" s="1">
        <v>3238375</v>
      </c>
      <c r="F101" s="41">
        <f t="shared" si="15"/>
        <v>20.236000000000001</v>
      </c>
      <c r="G101" s="22">
        <f t="shared" si="10"/>
        <v>80.32960168208578</v>
      </c>
      <c r="H101" s="45">
        <f t="shared" si="11"/>
        <v>13.571487810484989</v>
      </c>
      <c r="I101" s="42">
        <f t="shared" si="12"/>
        <v>93.901089492570776</v>
      </c>
      <c r="J101" s="30">
        <f t="shared" si="14"/>
        <v>310</v>
      </c>
      <c r="K101" s="195">
        <v>10</v>
      </c>
      <c r="L101" s="27">
        <f t="shared" si="13"/>
        <v>413.9010894925708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4201937</v>
      </c>
      <c r="E102" s="1">
        <v>4224658</v>
      </c>
      <c r="F102" s="41">
        <f t="shared" si="15"/>
        <v>22.721</v>
      </c>
      <c r="G102" s="22">
        <f t="shared" si="10"/>
        <v>90.19415298570226</v>
      </c>
      <c r="H102" s="45">
        <f t="shared" si="11"/>
        <v>13.571487810484989</v>
      </c>
      <c r="I102" s="42">
        <f t="shared" si="12"/>
        <v>103.76564079618726</v>
      </c>
      <c r="J102" s="30">
        <f t="shared" si="14"/>
        <v>310</v>
      </c>
      <c r="K102" s="195"/>
      <c r="L102" s="27">
        <f t="shared" si="13"/>
        <v>413.76564079618726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3916862</v>
      </c>
      <c r="E103" s="1">
        <v>3945859</v>
      </c>
      <c r="F103" s="41">
        <f t="shared" si="15"/>
        <v>28.997</v>
      </c>
      <c r="G103" s="22">
        <f t="shared" si="10"/>
        <v>115.10760328006728</v>
      </c>
      <c r="H103" s="45">
        <f t="shared" si="11"/>
        <v>13.571487810484989</v>
      </c>
      <c r="I103" s="42">
        <f t="shared" si="12"/>
        <v>128.67909109055228</v>
      </c>
      <c r="J103" s="30">
        <f t="shared" si="14"/>
        <v>310</v>
      </c>
      <c r="K103" s="195">
        <v>10</v>
      </c>
      <c r="L103" s="27">
        <f t="shared" si="13"/>
        <v>448.67909109055228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165086</v>
      </c>
      <c r="E104" s="1">
        <v>167754</v>
      </c>
      <c r="F104" s="41">
        <f>(E104-D104)*0.01</f>
        <v>26.68</v>
      </c>
      <c r="G104" s="22">
        <f t="shared" si="10"/>
        <v>105.90995121951218</v>
      </c>
      <c r="H104" s="45">
        <f t="shared" si="11"/>
        <v>13.571487810484989</v>
      </c>
      <c r="I104" s="42">
        <f t="shared" si="12"/>
        <v>119.48143902999718</v>
      </c>
      <c r="J104" s="30">
        <f t="shared" si="14"/>
        <v>310</v>
      </c>
      <c r="K104" s="195"/>
      <c r="L104" s="27">
        <f t="shared" si="13"/>
        <v>429.4814390299972</v>
      </c>
    </row>
    <row r="105" spans="1:12" ht="15" customHeight="1" x14ac:dyDescent="0.45">
      <c r="A105" s="314"/>
      <c r="B105" s="5" t="s">
        <v>8</v>
      </c>
      <c r="C105" s="2">
        <v>103</v>
      </c>
      <c r="D105" s="1">
        <v>148021</v>
      </c>
      <c r="E105" s="1">
        <v>166316</v>
      </c>
      <c r="F105" s="41">
        <f t="shared" ref="F105:F123" si="16">(E105-D105)*$N$1</f>
        <v>18.295000000000002</v>
      </c>
      <c r="G105" s="22">
        <f t="shared" si="10"/>
        <v>72.624533641715729</v>
      </c>
      <c r="H105" s="45">
        <f t="shared" si="11"/>
        <v>13.571487810484989</v>
      </c>
      <c r="I105" s="42">
        <f t="shared" si="12"/>
        <v>86.196021452200711</v>
      </c>
      <c r="J105" s="30">
        <f t="shared" si="14"/>
        <v>310</v>
      </c>
      <c r="K105" s="195"/>
      <c r="L105" s="27">
        <f t="shared" si="13"/>
        <v>396.19602145220074</v>
      </c>
    </row>
    <row r="106" spans="1:12" ht="15" customHeight="1" x14ac:dyDescent="0.45">
      <c r="A106" s="314"/>
      <c r="B106" s="237" t="s">
        <v>8</v>
      </c>
      <c r="C106" s="2">
        <v>104</v>
      </c>
      <c r="D106" s="1">
        <v>443970</v>
      </c>
      <c r="E106" s="1">
        <v>445986</v>
      </c>
      <c r="F106" s="41">
        <f t="shared" si="16"/>
        <v>2.016</v>
      </c>
      <c r="G106" s="22">
        <f t="shared" si="10"/>
        <v>8.0027909167367532</v>
      </c>
      <c r="H106" s="45">
        <f t="shared" si="11"/>
        <v>13.571487810484989</v>
      </c>
      <c r="I106" s="42">
        <f t="shared" si="12"/>
        <v>21.574278727221742</v>
      </c>
      <c r="J106" s="30">
        <f t="shared" si="14"/>
        <v>310</v>
      </c>
      <c r="K106" s="195"/>
      <c r="L106" s="27">
        <f t="shared" si="13"/>
        <v>331.57427872722172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11777</v>
      </c>
      <c r="E107" s="1">
        <v>11777</v>
      </c>
      <c r="F107" s="41">
        <f t="shared" si="16"/>
        <v>0</v>
      </c>
      <c r="G107" s="22">
        <f t="shared" si="10"/>
        <v>0</v>
      </c>
      <c r="H107" s="45">
        <f t="shared" si="11"/>
        <v>13.571487810484989</v>
      </c>
      <c r="I107" s="42">
        <f t="shared" si="12"/>
        <v>13.571487810484989</v>
      </c>
      <c r="J107" s="30">
        <f t="shared" si="14"/>
        <v>310</v>
      </c>
      <c r="K107" s="195"/>
      <c r="L107" s="27">
        <f t="shared" si="13"/>
        <v>323.571487810485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210357</v>
      </c>
      <c r="E108" s="1">
        <v>230118</v>
      </c>
      <c r="F108" s="41">
        <f t="shared" si="16"/>
        <v>19.760999999999999</v>
      </c>
      <c r="G108" s="22">
        <f t="shared" si="10"/>
        <v>78.444023465096706</v>
      </c>
      <c r="H108" s="45">
        <f t="shared" si="11"/>
        <v>13.571487810484989</v>
      </c>
      <c r="I108" s="42">
        <f t="shared" si="12"/>
        <v>92.015511275581702</v>
      </c>
      <c r="J108" s="30">
        <f t="shared" si="14"/>
        <v>310</v>
      </c>
      <c r="K108" s="195"/>
      <c r="L108" s="27">
        <f t="shared" si="13"/>
        <v>402.01551127558173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3629922</v>
      </c>
      <c r="E109" s="1">
        <v>3634400</v>
      </c>
      <c r="F109" s="41">
        <f t="shared" si="16"/>
        <v>4.4779999999999998</v>
      </c>
      <c r="G109" s="22">
        <f t="shared" si="10"/>
        <v>17.776040538267448</v>
      </c>
      <c r="H109" s="45">
        <f t="shared" si="11"/>
        <v>13.571487810484989</v>
      </c>
      <c r="I109" s="42">
        <f t="shared" si="12"/>
        <v>31.347528348752437</v>
      </c>
      <c r="J109" s="30">
        <f t="shared" si="14"/>
        <v>310</v>
      </c>
      <c r="K109" s="195"/>
      <c r="L109" s="27">
        <f t="shared" si="13"/>
        <v>341.34752834875246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1985916</v>
      </c>
      <c r="E110" s="1">
        <v>2008734</v>
      </c>
      <c r="F110" s="41">
        <f t="shared" si="16"/>
        <v>22.818000000000001</v>
      </c>
      <c r="G110" s="22">
        <f t="shared" si="10"/>
        <v>90.579207905803187</v>
      </c>
      <c r="H110" s="45">
        <f t="shared" si="11"/>
        <v>13.571487810484989</v>
      </c>
      <c r="I110" s="42">
        <f t="shared" si="12"/>
        <v>104.15069571628817</v>
      </c>
      <c r="J110" s="30">
        <f t="shared" si="14"/>
        <v>310</v>
      </c>
      <c r="K110" s="195"/>
      <c r="L110" s="27">
        <f t="shared" si="13"/>
        <v>414.15069571628817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3689463</v>
      </c>
      <c r="E111" s="1">
        <v>3706129</v>
      </c>
      <c r="F111" s="41">
        <f t="shared" si="16"/>
        <v>16.666</v>
      </c>
      <c r="G111" s="22">
        <f t="shared" si="10"/>
        <v>66.157992767031118</v>
      </c>
      <c r="H111" s="45">
        <f t="shared" si="11"/>
        <v>13.571487810484989</v>
      </c>
      <c r="I111" s="42">
        <f t="shared" si="12"/>
        <v>79.729480577516114</v>
      </c>
      <c r="J111" s="30">
        <f t="shared" si="14"/>
        <v>310</v>
      </c>
      <c r="K111" s="195"/>
      <c r="L111" s="27">
        <f t="shared" si="13"/>
        <v>389.72948057751614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3370131</v>
      </c>
      <c r="E112" s="1">
        <v>3379228</v>
      </c>
      <c r="F112" s="41">
        <f t="shared" si="16"/>
        <v>9.0969999999999995</v>
      </c>
      <c r="G112" s="22">
        <f t="shared" si="10"/>
        <v>36.111800084104281</v>
      </c>
      <c r="H112" s="45">
        <f t="shared" si="11"/>
        <v>13.571487810484989</v>
      </c>
      <c r="I112" s="42">
        <f t="shared" si="12"/>
        <v>49.68328789458927</v>
      </c>
      <c r="J112" s="30">
        <f t="shared" si="14"/>
        <v>310</v>
      </c>
      <c r="K112" s="195"/>
      <c r="L112" s="27">
        <f t="shared" si="13"/>
        <v>359.68328789458928</v>
      </c>
    </row>
    <row r="113" spans="1:12" ht="15" customHeight="1" x14ac:dyDescent="0.45">
      <c r="A113" s="314"/>
      <c r="B113" s="237" t="s">
        <v>8</v>
      </c>
      <c r="C113" s="2">
        <v>303</v>
      </c>
      <c r="D113" s="1">
        <v>0</v>
      </c>
      <c r="E113" s="1">
        <v>6289</v>
      </c>
      <c r="F113" s="41">
        <f t="shared" si="16"/>
        <v>6.2889999999999997</v>
      </c>
      <c r="G113" s="22">
        <f t="shared" si="10"/>
        <v>24.965055592935236</v>
      </c>
      <c r="H113" s="45">
        <f t="shared" si="11"/>
        <v>13.571487810484989</v>
      </c>
      <c r="I113" s="42">
        <f t="shared" si="12"/>
        <v>38.536543403420225</v>
      </c>
      <c r="J113" s="30">
        <f t="shared" si="14"/>
        <v>310</v>
      </c>
      <c r="K113" s="195"/>
      <c r="L113" s="27">
        <f t="shared" si="13"/>
        <v>348.53654340342024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95883</v>
      </c>
      <c r="E114" s="1">
        <v>107075</v>
      </c>
      <c r="F114" s="41">
        <f t="shared" si="16"/>
        <v>11.192</v>
      </c>
      <c r="G114" s="22">
        <f t="shared" si="10"/>
        <v>44.428192430613962</v>
      </c>
      <c r="H114" s="45">
        <f t="shared" si="11"/>
        <v>13.571487810484989</v>
      </c>
      <c r="I114" s="42">
        <f t="shared" si="12"/>
        <v>57.99968024109895</v>
      </c>
      <c r="J114" s="30">
        <f t="shared" si="14"/>
        <v>310</v>
      </c>
      <c r="K114" s="195"/>
      <c r="L114" s="27">
        <f t="shared" si="13"/>
        <v>367.99968024109893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2835222</v>
      </c>
      <c r="E115" s="1">
        <v>2848784</v>
      </c>
      <c r="F115" s="41">
        <f t="shared" si="16"/>
        <v>13.562000000000001</v>
      </c>
      <c r="G115" s="22">
        <f t="shared" si="10"/>
        <v>53.836235323801517</v>
      </c>
      <c r="H115" s="45">
        <f t="shared" si="11"/>
        <v>13.571487810484989</v>
      </c>
      <c r="I115" s="42">
        <f t="shared" si="12"/>
        <v>67.407723134286499</v>
      </c>
      <c r="J115" s="30">
        <f t="shared" si="14"/>
        <v>310</v>
      </c>
      <c r="K115" s="195"/>
      <c r="L115" s="27">
        <f t="shared" si="13"/>
        <v>377.40772313428647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7412</v>
      </c>
      <c r="E116" s="1">
        <v>7869</v>
      </c>
      <c r="F116" s="41">
        <f t="shared" si="16"/>
        <v>0.45700000000000002</v>
      </c>
      <c r="G116" s="22">
        <f t="shared" si="10"/>
        <v>1.8141247266610596</v>
      </c>
      <c r="H116" s="45">
        <f t="shared" si="11"/>
        <v>13.571487810484989</v>
      </c>
      <c r="I116" s="42">
        <f t="shared" si="12"/>
        <v>15.385612537146049</v>
      </c>
      <c r="J116" s="30">
        <f t="shared" si="14"/>
        <v>310</v>
      </c>
      <c r="K116" s="195"/>
      <c r="L116" s="27">
        <f t="shared" si="13"/>
        <v>325.38561253714607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535696</v>
      </c>
      <c r="E117" s="1">
        <v>536391</v>
      </c>
      <c r="F117" s="41">
        <f t="shared" si="16"/>
        <v>0.69500000000000006</v>
      </c>
      <c r="G117" s="22">
        <f t="shared" si="10"/>
        <v>2.7588986543313707</v>
      </c>
      <c r="H117" s="45">
        <f t="shared" si="11"/>
        <v>13.571487810484989</v>
      </c>
      <c r="I117" s="42">
        <f t="shared" si="12"/>
        <v>16.33038646481636</v>
      </c>
      <c r="J117" s="30">
        <f t="shared" si="14"/>
        <v>310</v>
      </c>
      <c r="K117" s="195"/>
      <c r="L117" s="27">
        <f t="shared" si="13"/>
        <v>326.33038646481634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2781706</v>
      </c>
      <c r="E118" s="1">
        <v>2800593</v>
      </c>
      <c r="F118" s="41">
        <f t="shared" si="16"/>
        <v>18.887</v>
      </c>
      <c r="G118" s="22">
        <f t="shared" si="10"/>
        <v>74.97455954583684</v>
      </c>
      <c r="H118" s="45">
        <f t="shared" si="11"/>
        <v>13.571487810484989</v>
      </c>
      <c r="I118" s="42">
        <f t="shared" si="12"/>
        <v>88.546047356321822</v>
      </c>
      <c r="J118" s="30">
        <f t="shared" si="14"/>
        <v>310</v>
      </c>
      <c r="K118" s="195">
        <v>10</v>
      </c>
      <c r="L118" s="27">
        <f t="shared" si="13"/>
        <v>408.54604735632182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2855337</v>
      </c>
      <c r="E119" s="1">
        <v>2874981</v>
      </c>
      <c r="F119" s="41">
        <f t="shared" si="16"/>
        <v>19.644000000000002</v>
      </c>
      <c r="G119" s="22">
        <f t="shared" si="10"/>
        <v>77.979575777964683</v>
      </c>
      <c r="H119" s="45">
        <f t="shared" si="11"/>
        <v>13.571487810484989</v>
      </c>
      <c r="I119" s="42">
        <f t="shared" si="12"/>
        <v>91.551063588449665</v>
      </c>
      <c r="J119" s="30">
        <f t="shared" si="14"/>
        <v>310</v>
      </c>
      <c r="K119" s="195"/>
      <c r="L119" s="27">
        <f t="shared" si="13"/>
        <v>401.55106358844967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6005886</v>
      </c>
      <c r="E120" s="1">
        <v>6047324</v>
      </c>
      <c r="F120" s="41">
        <f t="shared" si="16"/>
        <v>41.438000000000002</v>
      </c>
      <c r="G120" s="22">
        <f t="shared" si="10"/>
        <v>164.49387401177461</v>
      </c>
      <c r="H120" s="45">
        <f t="shared" si="11"/>
        <v>13.571487810484989</v>
      </c>
      <c r="I120" s="42">
        <f t="shared" si="12"/>
        <v>178.0653618222596</v>
      </c>
      <c r="J120" s="30">
        <f t="shared" si="14"/>
        <v>310</v>
      </c>
      <c r="K120" s="195"/>
      <c r="L120" s="27">
        <f t="shared" si="13"/>
        <v>488.0653618222596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130522</v>
      </c>
      <c r="E121" s="1">
        <v>133874</v>
      </c>
      <c r="F121" s="41">
        <f t="shared" si="16"/>
        <v>3.3519999999999999</v>
      </c>
      <c r="G121" s="22">
        <f t="shared" si="10"/>
        <v>13.306227754415474</v>
      </c>
      <c r="H121" s="45">
        <f t="shared" si="11"/>
        <v>13.571487810484989</v>
      </c>
      <c r="I121" s="42">
        <f t="shared" si="12"/>
        <v>26.877715564900463</v>
      </c>
      <c r="J121" s="30">
        <f t="shared" si="14"/>
        <v>310</v>
      </c>
      <c r="K121" s="195"/>
      <c r="L121" s="27">
        <f t="shared" si="13"/>
        <v>336.87771556490048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4421064</v>
      </c>
      <c r="E122" s="1">
        <v>4445631</v>
      </c>
      <c r="F122" s="41">
        <f t="shared" si="16"/>
        <v>24.567</v>
      </c>
      <c r="G122" s="22">
        <f t="shared" si="10"/>
        <v>97.522105382674511</v>
      </c>
      <c r="H122" s="45">
        <f t="shared" si="11"/>
        <v>13.571487810484989</v>
      </c>
      <c r="I122" s="42">
        <f t="shared" si="12"/>
        <v>111.09359319315951</v>
      </c>
      <c r="J122" s="30">
        <f t="shared" si="14"/>
        <v>310</v>
      </c>
      <c r="K122" s="195"/>
      <c r="L122" s="27">
        <f t="shared" si="13"/>
        <v>421.09359319315951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79777</v>
      </c>
      <c r="E123" s="1">
        <v>101866</v>
      </c>
      <c r="F123" s="41">
        <f t="shared" si="16"/>
        <v>22.089000000000002</v>
      </c>
      <c r="G123" s="22">
        <f t="shared" si="10"/>
        <v>87.685341547518931</v>
      </c>
      <c r="H123" s="45">
        <f t="shared" si="11"/>
        <v>13.571487810484989</v>
      </c>
      <c r="I123" s="42">
        <f t="shared" si="12"/>
        <v>101.25682935800393</v>
      </c>
      <c r="J123" s="30">
        <f t="shared" si="14"/>
        <v>310</v>
      </c>
      <c r="K123" s="195"/>
      <c r="L123" s="27">
        <f t="shared" si="13"/>
        <v>411.25682935800393</v>
      </c>
    </row>
    <row r="124" spans="1:12" ht="15" customHeight="1" x14ac:dyDescent="0.45">
      <c r="A124" s="318"/>
      <c r="B124" s="159" t="s">
        <v>9</v>
      </c>
      <c r="C124" s="2">
        <v>102</v>
      </c>
      <c r="D124" s="1">
        <v>24154</v>
      </c>
      <c r="E124" s="1">
        <v>24278</v>
      </c>
      <c r="F124" s="41">
        <f>(E124-D124)*0.01</f>
        <v>1.24</v>
      </c>
      <c r="G124" s="22">
        <f t="shared" si="10"/>
        <v>4.9223515559293523</v>
      </c>
      <c r="H124" s="45">
        <f t="shared" si="11"/>
        <v>13.571487810484989</v>
      </c>
      <c r="I124" s="42">
        <f t="shared" si="12"/>
        <v>18.493839366414342</v>
      </c>
      <c r="J124" s="30">
        <f t="shared" si="14"/>
        <v>310</v>
      </c>
      <c r="K124" s="195"/>
      <c r="L124" s="27">
        <f t="shared" si="13"/>
        <v>328.49383936641436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3032468</v>
      </c>
      <c r="E125" s="1">
        <v>3042119</v>
      </c>
      <c r="F125" s="41">
        <f t="shared" ref="F125:F181" si="17">(E125-D125)*$N$1</f>
        <v>9.6509999999999998</v>
      </c>
      <c r="G125" s="22">
        <f t="shared" si="10"/>
        <v>38.310979730866272</v>
      </c>
      <c r="H125" s="45">
        <f t="shared" si="11"/>
        <v>13.571487810484989</v>
      </c>
      <c r="I125" s="42">
        <f t="shared" si="12"/>
        <v>51.882467541351261</v>
      </c>
      <c r="J125" s="30">
        <f t="shared" si="14"/>
        <v>310</v>
      </c>
      <c r="K125" s="195"/>
      <c r="L125" s="27">
        <f t="shared" si="13"/>
        <v>361.88246754135128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2954471</v>
      </c>
      <c r="E126" s="1">
        <v>2970992</v>
      </c>
      <c r="F126" s="41">
        <f t="shared" si="17"/>
        <v>16.521000000000001</v>
      </c>
      <c r="G126" s="22">
        <f t="shared" si="10"/>
        <v>65.582395206055509</v>
      </c>
      <c r="H126" s="45">
        <f t="shared" si="11"/>
        <v>13.571487810484989</v>
      </c>
      <c r="I126" s="42">
        <f t="shared" si="12"/>
        <v>79.153883016540505</v>
      </c>
      <c r="J126" s="30">
        <f t="shared" si="14"/>
        <v>310</v>
      </c>
      <c r="K126" s="195"/>
      <c r="L126" s="27">
        <f t="shared" si="13"/>
        <v>389.15388301654048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2661468</v>
      </c>
      <c r="E127" s="1">
        <v>2674757</v>
      </c>
      <c r="F127" s="41">
        <f t="shared" si="17"/>
        <v>13.289</v>
      </c>
      <c r="G127" s="22">
        <f t="shared" si="10"/>
        <v>52.75252405382674</v>
      </c>
      <c r="H127" s="45">
        <f t="shared" si="11"/>
        <v>13.571487810484989</v>
      </c>
      <c r="I127" s="42">
        <f t="shared" si="12"/>
        <v>66.324011864311728</v>
      </c>
      <c r="J127" s="30">
        <f t="shared" si="14"/>
        <v>310</v>
      </c>
      <c r="K127" s="195"/>
      <c r="L127" s="27">
        <f t="shared" si="13"/>
        <v>376.32401186431173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4814696</v>
      </c>
      <c r="E128" s="1">
        <v>4830387</v>
      </c>
      <c r="F128" s="41">
        <f t="shared" si="17"/>
        <v>15.691000000000001</v>
      </c>
      <c r="G128" s="22">
        <f t="shared" si="10"/>
        <v>62.287595374264086</v>
      </c>
      <c r="H128" s="45">
        <f t="shared" si="11"/>
        <v>13.571487810484989</v>
      </c>
      <c r="I128" s="42">
        <f t="shared" si="12"/>
        <v>75.859083184749068</v>
      </c>
      <c r="J128" s="30">
        <f t="shared" si="14"/>
        <v>310</v>
      </c>
      <c r="K128" s="195"/>
      <c r="L128" s="27">
        <f t="shared" si="13"/>
        <v>385.85908318474907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2076116</v>
      </c>
      <c r="E129" s="1">
        <v>2098299</v>
      </c>
      <c r="F129" s="41">
        <f t="shared" si="17"/>
        <v>22.183</v>
      </c>
      <c r="G129" s="22">
        <f t="shared" si="10"/>
        <v>88.058487552565168</v>
      </c>
      <c r="H129" s="45">
        <f t="shared" si="11"/>
        <v>13.571487810484989</v>
      </c>
      <c r="I129" s="42">
        <f t="shared" si="12"/>
        <v>101.62997536305016</v>
      </c>
      <c r="J129" s="30">
        <f t="shared" si="14"/>
        <v>310</v>
      </c>
      <c r="K129" s="195"/>
      <c r="L129" s="27">
        <f t="shared" si="13"/>
        <v>411.62997536305016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2948850</v>
      </c>
      <c r="E130" s="1">
        <v>2957645</v>
      </c>
      <c r="F130" s="41">
        <f t="shared" si="17"/>
        <v>8.7949999999999999</v>
      </c>
      <c r="G130" s="22">
        <f t="shared" si="10"/>
        <v>34.912969301934396</v>
      </c>
      <c r="H130" s="45">
        <f t="shared" si="11"/>
        <v>13.571487810484989</v>
      </c>
      <c r="I130" s="42">
        <f t="shared" si="12"/>
        <v>48.484457112419385</v>
      </c>
      <c r="J130" s="30">
        <f t="shared" si="14"/>
        <v>310</v>
      </c>
      <c r="K130" s="195"/>
      <c r="L130" s="27">
        <f t="shared" si="13"/>
        <v>358.48445711241936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3097676</v>
      </c>
      <c r="E131" s="1">
        <v>3123368</v>
      </c>
      <c r="F131" s="41">
        <f t="shared" si="17"/>
        <v>25.692</v>
      </c>
      <c r="G131" s="22">
        <f t="shared" si="10"/>
        <v>101.98794852817493</v>
      </c>
      <c r="H131" s="45">
        <f t="shared" si="11"/>
        <v>13.571487810484989</v>
      </c>
      <c r="I131" s="42">
        <f t="shared" si="12"/>
        <v>115.55943633865991</v>
      </c>
      <c r="J131" s="30">
        <f t="shared" si="14"/>
        <v>310</v>
      </c>
      <c r="K131" s="195"/>
      <c r="L131" s="27">
        <f t="shared" si="13"/>
        <v>425.55943633865991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1895130</v>
      </c>
      <c r="E132" s="1">
        <v>1901063</v>
      </c>
      <c r="F132" s="41">
        <f t="shared" si="17"/>
        <v>5.9329999999999998</v>
      </c>
      <c r="G132" s="22">
        <f t="shared" ref="G132:G183" si="18">MMULT($G$1,1/$F$183)*F132</f>
        <v>23.551864339781325</v>
      </c>
      <c r="H132" s="45">
        <f t="shared" ref="H132:H183" si="19">MMULT($H$1,1/180)</f>
        <v>13.571487810484989</v>
      </c>
      <c r="I132" s="42">
        <f t="shared" ref="I132:I182" si="20">SUM(G132,H132)</f>
        <v>37.123352150266314</v>
      </c>
      <c r="J132" s="30">
        <f t="shared" si="14"/>
        <v>310</v>
      </c>
      <c r="K132" s="195"/>
      <c r="L132" s="27">
        <f t="shared" ref="L132:L182" si="21">SUM(I132,J132,K132)</f>
        <v>347.12335215026633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3482980</v>
      </c>
      <c r="E133" s="1">
        <v>3493958</v>
      </c>
      <c r="F133" s="41">
        <f t="shared" si="17"/>
        <v>10.978</v>
      </c>
      <c r="G133" s="22">
        <f t="shared" si="18"/>
        <v>43.578689823380991</v>
      </c>
      <c r="H133" s="45">
        <f t="shared" si="19"/>
        <v>13.571487810484989</v>
      </c>
      <c r="I133" s="42">
        <f t="shared" si="20"/>
        <v>57.150177633865979</v>
      </c>
      <c r="J133" s="30">
        <f t="shared" ref="J133:J182" si="22">SUM($J$3)</f>
        <v>310</v>
      </c>
      <c r="K133" s="195"/>
      <c r="L133" s="27">
        <f t="shared" si="21"/>
        <v>367.15017763386595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4059272</v>
      </c>
      <c r="E134" s="1">
        <v>4077534</v>
      </c>
      <c r="F134" s="41">
        <f t="shared" si="17"/>
        <v>18.262</v>
      </c>
      <c r="G134" s="22">
        <f t="shared" si="18"/>
        <v>72.493535576114382</v>
      </c>
      <c r="H134" s="45">
        <f t="shared" si="19"/>
        <v>13.571487810484989</v>
      </c>
      <c r="I134" s="42">
        <f t="shared" si="20"/>
        <v>86.065023386599364</v>
      </c>
      <c r="J134" s="30">
        <f t="shared" si="22"/>
        <v>310</v>
      </c>
      <c r="K134" s="195"/>
      <c r="L134" s="27">
        <f t="shared" si="21"/>
        <v>396.06502338659936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1941874</v>
      </c>
      <c r="E135" s="1">
        <v>1953954</v>
      </c>
      <c r="F135" s="41">
        <f t="shared" si="17"/>
        <v>12.08</v>
      </c>
      <c r="G135" s="22">
        <f t="shared" si="18"/>
        <v>47.953231286795621</v>
      </c>
      <c r="H135" s="45">
        <f t="shared" si="19"/>
        <v>13.571487810484989</v>
      </c>
      <c r="I135" s="42">
        <f t="shared" si="20"/>
        <v>61.52471909728061</v>
      </c>
      <c r="J135" s="30">
        <f t="shared" si="22"/>
        <v>310</v>
      </c>
      <c r="K135" s="195"/>
      <c r="L135" s="27">
        <f t="shared" si="21"/>
        <v>371.52471909728058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2019410</v>
      </c>
      <c r="E136" s="1">
        <v>2019594</v>
      </c>
      <c r="F136" s="41">
        <f t="shared" si="17"/>
        <v>0.184</v>
      </c>
      <c r="G136" s="22">
        <f t="shared" si="18"/>
        <v>0.73041345668629098</v>
      </c>
      <c r="H136" s="45">
        <f t="shared" si="19"/>
        <v>13.571487810484989</v>
      </c>
      <c r="I136" s="42">
        <f t="shared" si="20"/>
        <v>14.30190126717128</v>
      </c>
      <c r="J136" s="30">
        <f t="shared" si="22"/>
        <v>310</v>
      </c>
      <c r="K136" s="195"/>
      <c r="L136" s="27">
        <f t="shared" si="21"/>
        <v>324.30190126717127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4573849</v>
      </c>
      <c r="E137" s="1">
        <v>4593360</v>
      </c>
      <c r="F137" s="41">
        <f t="shared" si="17"/>
        <v>19.510999999999999</v>
      </c>
      <c r="G137" s="22">
        <f t="shared" si="18"/>
        <v>77.451613877207734</v>
      </c>
      <c r="H137" s="45">
        <f t="shared" si="19"/>
        <v>13.571487810484989</v>
      </c>
      <c r="I137" s="42">
        <f t="shared" si="20"/>
        <v>91.02310168769273</v>
      </c>
      <c r="J137" s="30">
        <f t="shared" si="22"/>
        <v>310</v>
      </c>
      <c r="K137" s="195"/>
      <c r="L137" s="27">
        <f t="shared" si="21"/>
        <v>401.0231016876927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2520679</v>
      </c>
      <c r="E138" s="1">
        <v>2535113</v>
      </c>
      <c r="F138" s="41">
        <f t="shared" si="17"/>
        <v>14.434000000000001</v>
      </c>
      <c r="G138" s="22">
        <f t="shared" si="18"/>
        <v>57.297759966358285</v>
      </c>
      <c r="H138" s="45">
        <f t="shared" si="19"/>
        <v>13.571487810484989</v>
      </c>
      <c r="I138" s="42">
        <f t="shared" si="20"/>
        <v>70.869247776843281</v>
      </c>
      <c r="J138" s="30">
        <f t="shared" si="22"/>
        <v>310</v>
      </c>
      <c r="K138" s="195"/>
      <c r="L138" s="27">
        <f t="shared" si="21"/>
        <v>380.86924777684328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3165692</v>
      </c>
      <c r="E139" s="1">
        <v>3181371</v>
      </c>
      <c r="F139" s="41">
        <f t="shared" si="17"/>
        <v>15.679</v>
      </c>
      <c r="G139" s="22">
        <f t="shared" si="18"/>
        <v>62.239959714045412</v>
      </c>
      <c r="H139" s="45">
        <f t="shared" si="19"/>
        <v>13.571487810484989</v>
      </c>
      <c r="I139" s="42">
        <f t="shared" si="20"/>
        <v>75.811447524530394</v>
      </c>
      <c r="J139" s="30">
        <f t="shared" si="22"/>
        <v>310</v>
      </c>
      <c r="K139" s="195"/>
      <c r="L139" s="27">
        <f t="shared" si="21"/>
        <v>385.81144752453042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3048840</v>
      </c>
      <c r="E140" s="1">
        <v>3057705</v>
      </c>
      <c r="F140" s="41">
        <f t="shared" si="17"/>
        <v>8.8650000000000002</v>
      </c>
      <c r="G140" s="22">
        <f t="shared" si="18"/>
        <v>35.190843986543314</v>
      </c>
      <c r="H140" s="45">
        <f t="shared" si="19"/>
        <v>13.571487810484989</v>
      </c>
      <c r="I140" s="42">
        <f t="shared" si="20"/>
        <v>48.762331797028303</v>
      </c>
      <c r="J140" s="30">
        <f t="shared" si="22"/>
        <v>310</v>
      </c>
      <c r="K140" s="195"/>
      <c r="L140" s="27">
        <f t="shared" si="21"/>
        <v>358.76233179702831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3032856</v>
      </c>
      <c r="E141" s="1">
        <v>3047806</v>
      </c>
      <c r="F141" s="41">
        <f t="shared" si="17"/>
        <v>14.950000000000001</v>
      </c>
      <c r="G141" s="22">
        <f t="shared" si="18"/>
        <v>59.346093355761141</v>
      </c>
      <c r="H141" s="45">
        <f t="shared" si="19"/>
        <v>13.571487810484989</v>
      </c>
      <c r="I141" s="42">
        <f t="shared" si="20"/>
        <v>72.917581166246123</v>
      </c>
      <c r="J141" s="30">
        <f t="shared" si="22"/>
        <v>310</v>
      </c>
      <c r="K141" s="195"/>
      <c r="L141" s="27">
        <f>SUM(I141,J141,K141)</f>
        <v>382.91758116624612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3088667</v>
      </c>
      <c r="E142" s="1">
        <v>3097602</v>
      </c>
      <c r="F142" s="41">
        <f t="shared" si="17"/>
        <v>8.9350000000000005</v>
      </c>
      <c r="G142" s="22">
        <f t="shared" si="18"/>
        <v>35.468718671152224</v>
      </c>
      <c r="H142" s="45">
        <f t="shared" si="19"/>
        <v>13.571487810484989</v>
      </c>
      <c r="I142" s="42">
        <f t="shared" si="20"/>
        <v>49.040206481637213</v>
      </c>
      <c r="J142" s="30">
        <f t="shared" si="22"/>
        <v>310</v>
      </c>
      <c r="K142" s="195"/>
      <c r="L142" s="27">
        <f t="shared" si="21"/>
        <v>359.0402064816372</v>
      </c>
    </row>
    <row r="143" spans="1:12" x14ac:dyDescent="0.45">
      <c r="A143" s="314"/>
      <c r="B143" s="5" t="s">
        <v>10</v>
      </c>
      <c r="C143" s="2">
        <v>101</v>
      </c>
      <c r="D143" s="1">
        <v>3785576</v>
      </c>
      <c r="E143" s="1">
        <v>3804451</v>
      </c>
      <c r="F143" s="41">
        <f t="shared" si="17"/>
        <v>18.875</v>
      </c>
      <c r="G143" s="22">
        <f t="shared" si="18"/>
        <v>74.926923885618166</v>
      </c>
      <c r="H143" s="45">
        <f t="shared" si="19"/>
        <v>13.571487810484989</v>
      </c>
      <c r="I143" s="42">
        <f t="shared" si="20"/>
        <v>88.498411696103148</v>
      </c>
      <c r="J143" s="30">
        <f t="shared" si="22"/>
        <v>310</v>
      </c>
      <c r="K143" s="195"/>
      <c r="L143" s="27">
        <f t="shared" si="21"/>
        <v>398.49841169610318</v>
      </c>
    </row>
    <row r="144" spans="1:12" x14ac:dyDescent="0.45">
      <c r="A144" s="314"/>
      <c r="B144" s="5" t="s">
        <v>10</v>
      </c>
      <c r="C144" s="2">
        <v>102</v>
      </c>
      <c r="D144" s="1">
        <v>15604</v>
      </c>
      <c r="E144" s="1">
        <v>20039</v>
      </c>
      <c r="F144" s="41">
        <f t="shared" si="17"/>
        <v>4.4350000000000005</v>
      </c>
      <c r="G144" s="22">
        <f t="shared" si="18"/>
        <v>17.605346089150547</v>
      </c>
      <c r="H144" s="45">
        <f t="shared" si="19"/>
        <v>13.571487810484989</v>
      </c>
      <c r="I144" s="42">
        <f t="shared" si="20"/>
        <v>31.176833899635536</v>
      </c>
      <c r="J144" s="30">
        <f t="shared" si="22"/>
        <v>310</v>
      </c>
      <c r="K144" s="195"/>
      <c r="L144" s="27">
        <f t="shared" si="21"/>
        <v>341.17683389963554</v>
      </c>
    </row>
    <row r="145" spans="1:12" x14ac:dyDescent="0.45">
      <c r="A145" s="314"/>
      <c r="B145" s="5" t="s">
        <v>10</v>
      </c>
      <c r="C145" s="2">
        <v>103</v>
      </c>
      <c r="D145" s="1">
        <v>3990364</v>
      </c>
      <c r="E145" s="1">
        <v>3994358</v>
      </c>
      <c r="F145" s="41">
        <f t="shared" si="17"/>
        <v>3.9940000000000002</v>
      </c>
      <c r="G145" s="22">
        <f t="shared" si="18"/>
        <v>15.854735576114381</v>
      </c>
      <c r="H145" s="45">
        <f t="shared" si="19"/>
        <v>13.571487810484989</v>
      </c>
      <c r="I145" s="42">
        <f t="shared" si="20"/>
        <v>29.426223386599368</v>
      </c>
      <c r="J145" s="30">
        <f t="shared" si="22"/>
        <v>310</v>
      </c>
      <c r="K145" s="195"/>
      <c r="L145" s="27">
        <f t="shared" si="21"/>
        <v>339.42622338659936</v>
      </c>
    </row>
    <row r="146" spans="1:12" x14ac:dyDescent="0.45">
      <c r="A146" s="314"/>
      <c r="B146" s="5" t="s">
        <v>10</v>
      </c>
      <c r="C146" s="2">
        <v>104</v>
      </c>
      <c r="D146" s="1">
        <v>3042610</v>
      </c>
      <c r="E146" s="1">
        <v>3058367</v>
      </c>
      <c r="F146" s="41">
        <f t="shared" si="17"/>
        <v>15.757</v>
      </c>
      <c r="G146" s="22">
        <f t="shared" si="18"/>
        <v>62.549591505466772</v>
      </c>
      <c r="H146" s="45">
        <f t="shared" si="19"/>
        <v>13.571487810484989</v>
      </c>
      <c r="I146" s="42">
        <f t="shared" si="20"/>
        <v>76.121079315951761</v>
      </c>
      <c r="J146" s="30">
        <f t="shared" si="22"/>
        <v>310</v>
      </c>
      <c r="K146" s="195"/>
      <c r="L146" s="27">
        <f t="shared" si="21"/>
        <v>386.12107931595176</v>
      </c>
    </row>
    <row r="147" spans="1:12" x14ac:dyDescent="0.45">
      <c r="A147" s="314"/>
      <c r="B147" s="5" t="s">
        <v>10</v>
      </c>
      <c r="C147" s="2">
        <v>201</v>
      </c>
      <c r="D147" s="1">
        <v>5534579</v>
      </c>
      <c r="E147" s="1">
        <v>5579149</v>
      </c>
      <c r="F147" s="41">
        <f t="shared" si="17"/>
        <v>44.57</v>
      </c>
      <c r="G147" s="22">
        <f t="shared" si="18"/>
        <v>176.92678132884777</v>
      </c>
      <c r="H147" s="45">
        <f t="shared" si="19"/>
        <v>13.571487810484989</v>
      </c>
      <c r="I147" s="42">
        <f t="shared" si="20"/>
        <v>190.49826913933276</v>
      </c>
      <c r="J147" s="30">
        <f t="shared" si="22"/>
        <v>310</v>
      </c>
      <c r="K147" s="195"/>
      <c r="L147" s="27">
        <f t="shared" si="21"/>
        <v>500.49826913933276</v>
      </c>
    </row>
    <row r="148" spans="1:12" x14ac:dyDescent="0.45">
      <c r="A148" s="314"/>
      <c r="B148" s="5" t="s">
        <v>10</v>
      </c>
      <c r="C148" s="2">
        <v>202</v>
      </c>
      <c r="D148" s="1">
        <v>3461057</v>
      </c>
      <c r="E148" s="1">
        <v>3474205</v>
      </c>
      <c r="F148" s="41">
        <f t="shared" si="17"/>
        <v>13.148</v>
      </c>
      <c r="G148" s="22">
        <f t="shared" si="18"/>
        <v>52.192805046257355</v>
      </c>
      <c r="H148" s="45">
        <f t="shared" si="19"/>
        <v>13.571487810484989</v>
      </c>
      <c r="I148" s="42">
        <f t="shared" si="20"/>
        <v>65.764292856742344</v>
      </c>
      <c r="J148" s="30">
        <f t="shared" si="22"/>
        <v>310</v>
      </c>
      <c r="K148" s="195">
        <v>10</v>
      </c>
      <c r="L148" s="27">
        <f>SUM(I148,J148,K148)</f>
        <v>385.76429285674237</v>
      </c>
    </row>
    <row r="149" spans="1:12" x14ac:dyDescent="0.45">
      <c r="A149" s="314"/>
      <c r="B149" s="5" t="s">
        <v>10</v>
      </c>
      <c r="C149" s="2">
        <v>203</v>
      </c>
      <c r="D149" s="1">
        <v>3508808</v>
      </c>
      <c r="E149" s="1">
        <v>3529673</v>
      </c>
      <c r="F149" s="41">
        <f t="shared" si="17"/>
        <v>20.865000000000002</v>
      </c>
      <c r="G149" s="22">
        <f t="shared" si="18"/>
        <v>82.826504205214462</v>
      </c>
      <c r="H149" s="45">
        <f t="shared" si="19"/>
        <v>13.571487810484989</v>
      </c>
      <c r="I149" s="42">
        <f t="shared" si="20"/>
        <v>96.397992015699458</v>
      </c>
      <c r="J149" s="30">
        <f t="shared" si="22"/>
        <v>310</v>
      </c>
      <c r="K149" s="195"/>
      <c r="L149" s="27">
        <f t="shared" si="21"/>
        <v>406.39799201569946</v>
      </c>
    </row>
    <row r="150" spans="1:12" x14ac:dyDescent="0.45">
      <c r="A150" s="314"/>
      <c r="B150" s="5" t="s">
        <v>10</v>
      </c>
      <c r="C150" s="2">
        <v>204</v>
      </c>
      <c r="D150" s="1">
        <v>1921627</v>
      </c>
      <c r="E150" s="1">
        <v>1923984</v>
      </c>
      <c r="F150" s="41">
        <f t="shared" si="17"/>
        <v>2.3570000000000002</v>
      </c>
      <c r="G150" s="22">
        <f t="shared" si="18"/>
        <v>9.3564375946173257</v>
      </c>
      <c r="H150" s="45">
        <f t="shared" si="19"/>
        <v>13.571487810484989</v>
      </c>
      <c r="I150" s="42">
        <f t="shared" si="20"/>
        <v>22.927925405102314</v>
      </c>
      <c r="J150" s="30">
        <f t="shared" si="22"/>
        <v>310</v>
      </c>
      <c r="K150" s="195"/>
      <c r="L150" s="27">
        <f t="shared" si="21"/>
        <v>332.92792540510231</v>
      </c>
    </row>
    <row r="151" spans="1:12" x14ac:dyDescent="0.45">
      <c r="A151" s="314"/>
      <c r="B151" s="5" t="s">
        <v>10</v>
      </c>
      <c r="C151" s="2">
        <v>301</v>
      </c>
      <c r="D151" s="1">
        <v>2404203</v>
      </c>
      <c r="E151" s="1">
        <v>2412843</v>
      </c>
      <c r="F151" s="41">
        <f t="shared" si="17"/>
        <v>8.64</v>
      </c>
      <c r="G151" s="22">
        <f t="shared" si="18"/>
        <v>34.297675357443232</v>
      </c>
      <c r="H151" s="45">
        <f t="shared" si="19"/>
        <v>13.571487810484989</v>
      </c>
      <c r="I151" s="42">
        <f t="shared" si="20"/>
        <v>47.869163167928221</v>
      </c>
      <c r="J151" s="30">
        <f t="shared" si="22"/>
        <v>310</v>
      </c>
      <c r="K151" s="195"/>
      <c r="L151" s="27">
        <f t="shared" si="21"/>
        <v>357.86916316792821</v>
      </c>
    </row>
    <row r="152" spans="1:12" x14ac:dyDescent="0.45">
      <c r="A152" s="314"/>
      <c r="B152" s="5" t="s">
        <v>10</v>
      </c>
      <c r="C152" s="2">
        <v>302</v>
      </c>
      <c r="D152" s="1">
        <v>4286804</v>
      </c>
      <c r="E152" s="1">
        <v>4303502</v>
      </c>
      <c r="F152" s="41">
        <f t="shared" si="17"/>
        <v>16.698</v>
      </c>
      <c r="G152" s="22">
        <f t="shared" si="18"/>
        <v>66.285021194280901</v>
      </c>
      <c r="H152" s="45">
        <f t="shared" si="19"/>
        <v>13.571487810484989</v>
      </c>
      <c r="I152" s="42">
        <f t="shared" si="20"/>
        <v>79.856509004765883</v>
      </c>
      <c r="J152" s="30">
        <f t="shared" si="22"/>
        <v>310</v>
      </c>
      <c r="K152" s="195"/>
      <c r="L152" s="27">
        <f t="shared" si="21"/>
        <v>389.85650900476588</v>
      </c>
    </row>
    <row r="153" spans="1:12" x14ac:dyDescent="0.45">
      <c r="A153" s="314"/>
      <c r="B153" s="5" t="s">
        <v>10</v>
      </c>
      <c r="C153" s="2">
        <v>303</v>
      </c>
      <c r="D153" s="1">
        <v>2680456</v>
      </c>
      <c r="E153" s="1">
        <v>2690629</v>
      </c>
      <c r="F153" s="41">
        <f t="shared" si="17"/>
        <v>10.173</v>
      </c>
      <c r="G153" s="22">
        <f t="shared" si="18"/>
        <v>40.383130950378465</v>
      </c>
      <c r="H153" s="45">
        <f t="shared" si="19"/>
        <v>13.571487810484989</v>
      </c>
      <c r="I153" s="42">
        <f t="shared" si="20"/>
        <v>53.954618760863454</v>
      </c>
      <c r="J153" s="30">
        <f t="shared" si="22"/>
        <v>310</v>
      </c>
      <c r="K153" s="195"/>
      <c r="L153" s="27">
        <f>SUM(I153,J153,K153)</f>
        <v>363.95461876086347</v>
      </c>
    </row>
    <row r="154" spans="1:12" x14ac:dyDescent="0.45">
      <c r="A154" s="314"/>
      <c r="B154" s="5" t="s">
        <v>10</v>
      </c>
      <c r="C154" s="2">
        <v>304</v>
      </c>
      <c r="D154" s="1">
        <v>91467</v>
      </c>
      <c r="E154" s="1">
        <v>112671</v>
      </c>
      <c r="F154" s="41">
        <f t="shared" si="17"/>
        <v>21.204000000000001</v>
      </c>
      <c r="G154" s="22">
        <f t="shared" si="18"/>
        <v>84.172211606391926</v>
      </c>
      <c r="H154" s="45">
        <f t="shared" si="19"/>
        <v>13.571487810484989</v>
      </c>
      <c r="I154" s="42">
        <f t="shared" si="20"/>
        <v>97.743699416876922</v>
      </c>
      <c r="J154" s="30">
        <f t="shared" si="22"/>
        <v>310</v>
      </c>
      <c r="K154" s="195">
        <v>300</v>
      </c>
      <c r="L154" s="27">
        <f t="shared" si="21"/>
        <v>707.74369941687689</v>
      </c>
    </row>
    <row r="155" spans="1:12" x14ac:dyDescent="0.45">
      <c r="A155" s="314"/>
      <c r="B155" s="5" t="s">
        <v>10</v>
      </c>
      <c r="C155" s="2">
        <v>401</v>
      </c>
      <c r="D155" s="1">
        <v>5077348</v>
      </c>
      <c r="E155" s="1">
        <v>5099131</v>
      </c>
      <c r="F155" s="41">
        <f t="shared" si="17"/>
        <v>21.783000000000001</v>
      </c>
      <c r="G155" s="22">
        <f t="shared" si="18"/>
        <v>86.470632211942814</v>
      </c>
      <c r="H155" s="45">
        <f t="shared" si="19"/>
        <v>13.571487810484989</v>
      </c>
      <c r="I155" s="42">
        <f t="shared" si="20"/>
        <v>100.04212002242781</v>
      </c>
      <c r="J155" s="30">
        <f t="shared" si="22"/>
        <v>310</v>
      </c>
      <c r="K155" s="195"/>
      <c r="L155" s="27">
        <f t="shared" si="21"/>
        <v>410.04212002242781</v>
      </c>
    </row>
    <row r="156" spans="1:12" x14ac:dyDescent="0.45">
      <c r="A156" s="314"/>
      <c r="B156" s="5" t="s">
        <v>10</v>
      </c>
      <c r="C156" s="2">
        <v>402</v>
      </c>
      <c r="D156" s="1">
        <v>3832582</v>
      </c>
      <c r="E156" s="1">
        <v>3841173</v>
      </c>
      <c r="F156" s="41">
        <f t="shared" si="17"/>
        <v>8.5909999999999993</v>
      </c>
      <c r="G156" s="22">
        <f t="shared" si="18"/>
        <v>34.103163078216987</v>
      </c>
      <c r="H156" s="45">
        <f t="shared" si="19"/>
        <v>13.571487810484989</v>
      </c>
      <c r="I156" s="42">
        <f t="shared" si="20"/>
        <v>47.674650888701976</v>
      </c>
      <c r="J156" s="30">
        <f t="shared" si="22"/>
        <v>310</v>
      </c>
      <c r="K156" s="195"/>
      <c r="L156" s="27">
        <f t="shared" si="21"/>
        <v>357.67465088870199</v>
      </c>
    </row>
    <row r="157" spans="1:12" x14ac:dyDescent="0.45">
      <c r="A157" s="314"/>
      <c r="B157" s="5" t="s">
        <v>10</v>
      </c>
      <c r="C157" s="2">
        <v>403</v>
      </c>
      <c r="D157" s="1">
        <v>145905</v>
      </c>
      <c r="E157" s="1">
        <v>164350</v>
      </c>
      <c r="F157" s="41">
        <f t="shared" si="17"/>
        <v>18.445</v>
      </c>
      <c r="G157" s="22">
        <f t="shared" si="18"/>
        <v>73.219979394449112</v>
      </c>
      <c r="H157" s="45">
        <f t="shared" si="19"/>
        <v>13.571487810484989</v>
      </c>
      <c r="I157" s="42">
        <f t="shared" si="20"/>
        <v>86.791467204934094</v>
      </c>
      <c r="J157" s="30">
        <f t="shared" si="22"/>
        <v>310</v>
      </c>
      <c r="K157" s="195"/>
      <c r="L157" s="27">
        <f t="shared" si="21"/>
        <v>396.79146720493407</v>
      </c>
    </row>
    <row r="158" spans="1:12" x14ac:dyDescent="0.45">
      <c r="A158" s="314"/>
      <c r="B158" s="5" t="s">
        <v>10</v>
      </c>
      <c r="C158" s="2">
        <v>404</v>
      </c>
      <c r="D158" s="1">
        <v>164221</v>
      </c>
      <c r="E158" s="1">
        <v>180366</v>
      </c>
      <c r="F158" s="41">
        <f>(E158-D158)*$N$1</f>
        <v>16.145</v>
      </c>
      <c r="G158" s="22">
        <f t="shared" si="18"/>
        <v>64.089811185870474</v>
      </c>
      <c r="H158" s="45">
        <f t="shared" si="19"/>
        <v>13.571487810484989</v>
      </c>
      <c r="I158" s="42">
        <f t="shared" si="20"/>
        <v>77.66129899635547</v>
      </c>
      <c r="J158" s="30">
        <f t="shared" si="22"/>
        <v>310</v>
      </c>
      <c r="K158" s="195">
        <v>10</v>
      </c>
      <c r="L158" s="27">
        <f>SUM(I158,J158,K158)</f>
        <v>397.66129899635547</v>
      </c>
    </row>
    <row r="159" spans="1:12" x14ac:dyDescent="0.45">
      <c r="A159" s="314"/>
      <c r="B159" s="5" t="s">
        <v>10</v>
      </c>
      <c r="C159" s="2">
        <v>501</v>
      </c>
      <c r="D159" s="1">
        <v>249311</v>
      </c>
      <c r="E159" s="1">
        <v>250760</v>
      </c>
      <c r="F159" s="41">
        <f t="shared" si="17"/>
        <v>1.4490000000000001</v>
      </c>
      <c r="G159" s="22">
        <f t="shared" si="18"/>
        <v>5.7520059714045413</v>
      </c>
      <c r="H159" s="45">
        <f t="shared" si="19"/>
        <v>13.571487810484989</v>
      </c>
      <c r="I159" s="42">
        <f t="shared" si="20"/>
        <v>19.323493781889532</v>
      </c>
      <c r="J159" s="30">
        <f t="shared" si="22"/>
        <v>310</v>
      </c>
      <c r="K159" s="195"/>
      <c r="L159" s="27">
        <f>SUM(I159,J159,K159)</f>
        <v>329.32349378188951</v>
      </c>
    </row>
    <row r="160" spans="1:12" x14ac:dyDescent="0.45">
      <c r="A160" s="314"/>
      <c r="B160" s="5" t="s">
        <v>10</v>
      </c>
      <c r="C160" s="2">
        <v>502</v>
      </c>
      <c r="D160" s="1">
        <v>2834116</v>
      </c>
      <c r="E160" s="1">
        <v>2850180</v>
      </c>
      <c r="F160" s="41">
        <f t="shared" si="17"/>
        <v>16.064</v>
      </c>
      <c r="G160" s="22">
        <f t="shared" si="18"/>
        <v>63.768270479394445</v>
      </c>
      <c r="H160" s="45">
        <f t="shared" si="19"/>
        <v>13.571487810484989</v>
      </c>
      <c r="I160" s="42">
        <f t="shared" si="20"/>
        <v>77.339758289879427</v>
      </c>
      <c r="J160" s="30">
        <f t="shared" si="22"/>
        <v>310</v>
      </c>
      <c r="K160" s="195"/>
      <c r="L160" s="27">
        <f t="shared" si="21"/>
        <v>387.33975828987946</v>
      </c>
    </row>
    <row r="161" spans="1:12" x14ac:dyDescent="0.45">
      <c r="A161" s="314"/>
      <c r="B161" s="5" t="s">
        <v>10</v>
      </c>
      <c r="C161" s="2">
        <v>503</v>
      </c>
      <c r="D161" s="1">
        <v>3815564</v>
      </c>
      <c r="E161" s="1">
        <v>3829202</v>
      </c>
      <c r="F161" s="41">
        <f t="shared" si="17"/>
        <v>13.638</v>
      </c>
      <c r="G161" s="22">
        <f t="shared" si="18"/>
        <v>54.137927838519758</v>
      </c>
      <c r="H161" s="45">
        <f t="shared" si="19"/>
        <v>13.571487810484989</v>
      </c>
      <c r="I161" s="42">
        <f t="shared" si="20"/>
        <v>67.70941564900474</v>
      </c>
      <c r="J161" s="30">
        <f t="shared" si="22"/>
        <v>310</v>
      </c>
      <c r="K161" s="195"/>
      <c r="L161" s="27">
        <f t="shared" si="21"/>
        <v>377.70941564900477</v>
      </c>
    </row>
    <row r="162" spans="1:12" x14ac:dyDescent="0.45">
      <c r="A162" s="314"/>
      <c r="B162" s="5" t="s">
        <v>10</v>
      </c>
      <c r="C162" s="2">
        <v>504</v>
      </c>
      <c r="D162" s="1">
        <v>3610160</v>
      </c>
      <c r="E162" s="1">
        <v>3612541</v>
      </c>
      <c r="F162" s="41">
        <f t="shared" si="17"/>
        <v>2.3810000000000002</v>
      </c>
      <c r="G162" s="22">
        <f t="shared" si="18"/>
        <v>9.4517089150546685</v>
      </c>
      <c r="H162" s="45">
        <f t="shared" si="19"/>
        <v>13.571487810484989</v>
      </c>
      <c r="I162" s="42">
        <f t="shared" si="20"/>
        <v>23.023196725539655</v>
      </c>
      <c r="J162" s="30">
        <f t="shared" si="22"/>
        <v>310</v>
      </c>
      <c r="K162" s="195">
        <v>10</v>
      </c>
      <c r="L162" s="27">
        <f t="shared" si="21"/>
        <v>343.02319672553966</v>
      </c>
    </row>
    <row r="163" spans="1:12" x14ac:dyDescent="0.45">
      <c r="A163" s="318"/>
      <c r="B163" s="5" t="s">
        <v>11</v>
      </c>
      <c r="C163" s="2">
        <v>101</v>
      </c>
      <c r="D163" s="1">
        <v>3107778</v>
      </c>
      <c r="E163" s="1">
        <v>3133069</v>
      </c>
      <c r="F163" s="41">
        <f t="shared" si="17"/>
        <v>25.291</v>
      </c>
      <c r="G163" s="22">
        <f t="shared" si="18"/>
        <v>100.39612354920101</v>
      </c>
      <c r="H163" s="45">
        <f t="shared" si="19"/>
        <v>13.571487810484989</v>
      </c>
      <c r="I163" s="42">
        <f t="shared" si="20"/>
        <v>113.967611359686</v>
      </c>
      <c r="J163" s="30">
        <f t="shared" si="22"/>
        <v>310</v>
      </c>
      <c r="K163" s="195"/>
      <c r="L163" s="27">
        <f t="shared" si="21"/>
        <v>423.96761135968598</v>
      </c>
    </row>
    <row r="164" spans="1:12" x14ac:dyDescent="0.45">
      <c r="A164" s="318"/>
      <c r="B164" s="5" t="s">
        <v>11</v>
      </c>
      <c r="C164" s="2">
        <v>102</v>
      </c>
      <c r="D164" s="1">
        <v>2872456</v>
      </c>
      <c r="E164" s="1">
        <v>2904082</v>
      </c>
      <c r="F164" s="41">
        <f t="shared" si="17"/>
        <v>31.626000000000001</v>
      </c>
      <c r="G164" s="22">
        <f t="shared" si="18"/>
        <v>125.54378250630782</v>
      </c>
      <c r="H164" s="45">
        <f t="shared" si="19"/>
        <v>13.571487810484989</v>
      </c>
      <c r="I164" s="42">
        <f t="shared" si="20"/>
        <v>139.11527031679282</v>
      </c>
      <c r="J164" s="30">
        <f t="shared" si="22"/>
        <v>310</v>
      </c>
      <c r="K164" s="195">
        <v>10</v>
      </c>
      <c r="L164" s="27">
        <f t="shared" si="21"/>
        <v>459.11527031679282</v>
      </c>
    </row>
    <row r="165" spans="1:12" x14ac:dyDescent="0.45">
      <c r="A165" s="318"/>
      <c r="B165" s="5" t="s">
        <v>11</v>
      </c>
      <c r="C165" s="2">
        <v>103</v>
      </c>
      <c r="D165" s="1">
        <v>2414005</v>
      </c>
      <c r="E165" s="1">
        <v>2426117</v>
      </c>
      <c r="F165" s="41">
        <f t="shared" si="17"/>
        <v>12.112</v>
      </c>
      <c r="G165" s="22">
        <f t="shared" si="18"/>
        <v>48.080259714045411</v>
      </c>
      <c r="H165" s="45">
        <f t="shared" si="19"/>
        <v>13.571487810484989</v>
      </c>
      <c r="I165" s="42">
        <f t="shared" si="20"/>
        <v>61.6517475245304</v>
      </c>
      <c r="J165" s="30">
        <f t="shared" si="22"/>
        <v>310</v>
      </c>
      <c r="K165" s="195"/>
      <c r="L165" s="27">
        <f t="shared" si="21"/>
        <v>371.65174752453038</v>
      </c>
    </row>
    <row r="166" spans="1:12" x14ac:dyDescent="0.45">
      <c r="A166" s="318"/>
      <c r="B166" s="5" t="s">
        <v>11</v>
      </c>
      <c r="C166" s="2">
        <v>104</v>
      </c>
      <c r="D166" s="1">
        <v>2954815</v>
      </c>
      <c r="E166" s="1">
        <v>2988243</v>
      </c>
      <c r="F166" s="41">
        <f t="shared" si="17"/>
        <v>33.427999999999997</v>
      </c>
      <c r="G166" s="22">
        <f t="shared" si="18"/>
        <v>132.69707081581157</v>
      </c>
      <c r="H166" s="45">
        <f t="shared" si="19"/>
        <v>13.571487810484989</v>
      </c>
      <c r="I166" s="42">
        <f t="shared" si="20"/>
        <v>146.26855862629657</v>
      </c>
      <c r="J166" s="30">
        <f t="shared" si="22"/>
        <v>310</v>
      </c>
      <c r="K166" s="195">
        <v>10</v>
      </c>
      <c r="L166" s="27">
        <f t="shared" si="21"/>
        <v>466.26855862629657</v>
      </c>
    </row>
    <row r="167" spans="1:12" x14ac:dyDescent="0.45">
      <c r="A167" s="318"/>
      <c r="B167" s="5" t="s">
        <v>11</v>
      </c>
      <c r="C167" s="2">
        <v>201</v>
      </c>
      <c r="D167" s="1">
        <v>2188482</v>
      </c>
      <c r="E167" s="1">
        <v>2208378</v>
      </c>
      <c r="F167" s="41">
        <f t="shared" si="17"/>
        <v>19.896000000000001</v>
      </c>
      <c r="G167" s="22">
        <f t="shared" si="18"/>
        <v>78.979924642556767</v>
      </c>
      <c r="H167" s="45">
        <f t="shared" si="19"/>
        <v>13.571487810484989</v>
      </c>
      <c r="I167" s="42">
        <f t="shared" si="20"/>
        <v>92.551412453041763</v>
      </c>
      <c r="J167" s="30">
        <f t="shared" si="22"/>
        <v>310</v>
      </c>
      <c r="K167" s="195"/>
      <c r="L167" s="27">
        <f t="shared" si="21"/>
        <v>402.55141245304173</v>
      </c>
    </row>
    <row r="168" spans="1:12" x14ac:dyDescent="0.45">
      <c r="A168" s="318"/>
      <c r="B168" s="5" t="s">
        <v>11</v>
      </c>
      <c r="C168" s="2">
        <v>202</v>
      </c>
      <c r="D168" s="1">
        <v>243452</v>
      </c>
      <c r="E168" s="1">
        <v>265900</v>
      </c>
      <c r="F168" s="41">
        <f t="shared" si="17"/>
        <v>22.448</v>
      </c>
      <c r="G168" s="22">
        <f t="shared" si="18"/>
        <v>89.11044171572749</v>
      </c>
      <c r="H168" s="45">
        <f t="shared" si="19"/>
        <v>13.571487810484989</v>
      </c>
      <c r="I168" s="42">
        <f t="shared" si="20"/>
        <v>102.68192952621249</v>
      </c>
      <c r="J168" s="30">
        <f t="shared" si="22"/>
        <v>310</v>
      </c>
      <c r="K168" s="195">
        <v>10</v>
      </c>
      <c r="L168" s="27">
        <f t="shared" si="21"/>
        <v>422.68192952621246</v>
      </c>
    </row>
    <row r="169" spans="1:12" x14ac:dyDescent="0.45">
      <c r="A169" s="318"/>
      <c r="B169" s="5" t="s">
        <v>11</v>
      </c>
      <c r="C169" s="2">
        <v>203</v>
      </c>
      <c r="D169" s="1">
        <v>2816710</v>
      </c>
      <c r="E169" s="1">
        <v>2831381</v>
      </c>
      <c r="F169" s="41">
        <f t="shared" si="17"/>
        <v>14.671000000000001</v>
      </c>
      <c r="G169" s="22">
        <f t="shared" si="18"/>
        <v>58.238564255677041</v>
      </c>
      <c r="H169" s="45">
        <f t="shared" si="19"/>
        <v>13.571487810484989</v>
      </c>
      <c r="I169" s="42">
        <f t="shared" si="20"/>
        <v>71.810052066162029</v>
      </c>
      <c r="J169" s="30">
        <f t="shared" si="22"/>
        <v>310</v>
      </c>
      <c r="K169" s="195">
        <v>10</v>
      </c>
      <c r="L169" s="27">
        <f t="shared" si="21"/>
        <v>391.81005206616203</v>
      </c>
    </row>
    <row r="170" spans="1:12" x14ac:dyDescent="0.45">
      <c r="A170" s="318"/>
      <c r="B170" s="5" t="s">
        <v>11</v>
      </c>
      <c r="C170" s="2">
        <v>204</v>
      </c>
      <c r="D170" s="1">
        <v>2412961</v>
      </c>
      <c r="E170" s="1">
        <v>2425230</v>
      </c>
      <c r="F170" s="41">
        <f t="shared" si="17"/>
        <v>12.269</v>
      </c>
      <c r="G170" s="22">
        <f t="shared" si="18"/>
        <v>48.703492935239694</v>
      </c>
      <c r="H170" s="45">
        <f t="shared" si="19"/>
        <v>13.571487810484989</v>
      </c>
      <c r="I170" s="42">
        <f t="shared" si="20"/>
        <v>62.274980745724683</v>
      </c>
      <c r="J170" s="30">
        <f t="shared" si="22"/>
        <v>310</v>
      </c>
      <c r="K170" s="195"/>
      <c r="L170" s="27">
        <f t="shared" si="21"/>
        <v>372.27498074572469</v>
      </c>
    </row>
    <row r="171" spans="1:12" x14ac:dyDescent="0.45">
      <c r="A171" s="318"/>
      <c r="B171" s="5" t="s">
        <v>11</v>
      </c>
      <c r="C171" s="2">
        <v>301</v>
      </c>
      <c r="D171" s="1">
        <v>3439585</v>
      </c>
      <c r="E171" s="1">
        <v>3451025</v>
      </c>
      <c r="F171" s="41">
        <f t="shared" si="17"/>
        <v>11.44</v>
      </c>
      <c r="G171" s="22">
        <f t="shared" si="18"/>
        <v>45.412662741799828</v>
      </c>
      <c r="H171" s="45">
        <f t="shared" si="19"/>
        <v>13.571487810484989</v>
      </c>
      <c r="I171" s="42">
        <f t="shared" si="20"/>
        <v>58.984150552284817</v>
      </c>
      <c r="J171" s="30">
        <f t="shared" si="22"/>
        <v>310</v>
      </c>
      <c r="K171" s="195"/>
      <c r="L171" s="27">
        <f t="shared" si="21"/>
        <v>368.9841505522848</v>
      </c>
    </row>
    <row r="172" spans="1:12" x14ac:dyDescent="0.45">
      <c r="A172" s="318"/>
      <c r="B172" s="5" t="s">
        <v>11</v>
      </c>
      <c r="C172" s="2">
        <v>302</v>
      </c>
      <c r="D172" s="1">
        <v>2744861</v>
      </c>
      <c r="E172" s="1">
        <v>2756903</v>
      </c>
      <c r="F172" s="41">
        <f t="shared" si="17"/>
        <v>12.042</v>
      </c>
      <c r="G172" s="22">
        <f t="shared" si="18"/>
        <v>47.802385029436493</v>
      </c>
      <c r="H172" s="45">
        <f t="shared" si="19"/>
        <v>13.571487810484989</v>
      </c>
      <c r="I172" s="42">
        <f t="shared" si="20"/>
        <v>61.373872839921482</v>
      </c>
      <c r="J172" s="30">
        <f t="shared" si="22"/>
        <v>310</v>
      </c>
      <c r="K172" s="195">
        <v>10</v>
      </c>
      <c r="L172" s="27">
        <f t="shared" si="21"/>
        <v>381.37387283992149</v>
      </c>
    </row>
    <row r="173" spans="1:12" x14ac:dyDescent="0.45">
      <c r="A173" s="318"/>
      <c r="B173" s="5" t="s">
        <v>11</v>
      </c>
      <c r="C173" s="2">
        <v>303</v>
      </c>
      <c r="D173" s="1">
        <v>2543364</v>
      </c>
      <c r="E173" s="1">
        <v>2558326</v>
      </c>
      <c r="F173" s="41">
        <f t="shared" si="17"/>
        <v>14.962</v>
      </c>
      <c r="G173" s="22">
        <f t="shared" si="18"/>
        <v>59.393729015979808</v>
      </c>
      <c r="H173" s="45">
        <f t="shared" si="19"/>
        <v>13.571487810484989</v>
      </c>
      <c r="I173" s="42">
        <f t="shared" si="20"/>
        <v>72.965216826464797</v>
      </c>
      <c r="J173" s="30">
        <f t="shared" si="22"/>
        <v>310</v>
      </c>
      <c r="K173" s="195"/>
      <c r="L173" s="27">
        <f t="shared" si="21"/>
        <v>382.96521682646483</v>
      </c>
    </row>
    <row r="174" spans="1:12" x14ac:dyDescent="0.45">
      <c r="A174" s="318"/>
      <c r="B174" s="5" t="s">
        <v>11</v>
      </c>
      <c r="C174" s="2">
        <v>304</v>
      </c>
      <c r="D174" s="1">
        <v>5421357</v>
      </c>
      <c r="E174" s="1">
        <v>5426411</v>
      </c>
      <c r="F174" s="41">
        <f t="shared" si="17"/>
        <v>5.0540000000000003</v>
      </c>
      <c r="G174" s="22">
        <f t="shared" si="18"/>
        <v>20.062552228763668</v>
      </c>
      <c r="H174" s="45">
        <f t="shared" si="19"/>
        <v>13.571487810484989</v>
      </c>
      <c r="I174" s="42">
        <f t="shared" si="20"/>
        <v>33.63404003924866</v>
      </c>
      <c r="J174" s="30">
        <f t="shared" si="22"/>
        <v>310</v>
      </c>
      <c r="K174" s="195"/>
      <c r="L174" s="27">
        <f t="shared" si="21"/>
        <v>343.63404003924865</v>
      </c>
    </row>
    <row r="175" spans="1:12" x14ac:dyDescent="0.45">
      <c r="A175" s="318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13.571487810484989</v>
      </c>
      <c r="I175" s="42">
        <f t="shared" si="20"/>
        <v>13.571487810484989</v>
      </c>
      <c r="J175" s="30">
        <f t="shared" si="22"/>
        <v>310</v>
      </c>
      <c r="K175" s="195"/>
      <c r="L175" s="27">
        <f t="shared" si="21"/>
        <v>323.571487810485</v>
      </c>
    </row>
    <row r="176" spans="1:12" x14ac:dyDescent="0.45">
      <c r="A176" s="318"/>
      <c r="B176" s="5" t="s">
        <v>11</v>
      </c>
      <c r="C176" s="2">
        <v>402</v>
      </c>
      <c r="D176" s="1">
        <v>2038604</v>
      </c>
      <c r="E176" s="1">
        <v>2045790</v>
      </c>
      <c r="F176" s="41">
        <f t="shared" si="17"/>
        <v>7.1859999999999999</v>
      </c>
      <c r="G176" s="22">
        <f t="shared" si="18"/>
        <v>28.525821194280905</v>
      </c>
      <c r="H176" s="45">
        <f t="shared" si="19"/>
        <v>13.571487810484989</v>
      </c>
      <c r="I176" s="42">
        <f t="shared" si="20"/>
        <v>42.09730900476589</v>
      </c>
      <c r="J176" s="30">
        <f t="shared" si="22"/>
        <v>310</v>
      </c>
      <c r="K176" s="195"/>
      <c r="L176" s="27">
        <f t="shared" si="21"/>
        <v>352.09730900476586</v>
      </c>
    </row>
    <row r="177" spans="1:12" x14ac:dyDescent="0.45">
      <c r="A177" s="318"/>
      <c r="B177" s="5" t="s">
        <v>11</v>
      </c>
      <c r="C177" s="2">
        <v>403</v>
      </c>
      <c r="D177" s="1">
        <v>3296764</v>
      </c>
      <c r="E177" s="1">
        <v>3310520</v>
      </c>
      <c r="F177" s="41">
        <f t="shared" si="17"/>
        <v>13.756</v>
      </c>
      <c r="G177" s="22">
        <f t="shared" si="18"/>
        <v>54.606345164003358</v>
      </c>
      <c r="H177" s="45">
        <f t="shared" si="19"/>
        <v>13.571487810484989</v>
      </c>
      <c r="I177" s="42">
        <f t="shared" si="20"/>
        <v>68.177832974488354</v>
      </c>
      <c r="J177" s="30">
        <f t="shared" si="22"/>
        <v>310</v>
      </c>
      <c r="K177" s="195"/>
      <c r="L177" s="27">
        <f t="shared" si="21"/>
        <v>378.17783297448835</v>
      </c>
    </row>
    <row r="178" spans="1:12" x14ac:dyDescent="0.45">
      <c r="A178" s="318"/>
      <c r="B178" s="5" t="s">
        <v>11</v>
      </c>
      <c r="C178" s="2">
        <v>404</v>
      </c>
      <c r="D178" s="1">
        <v>86048</v>
      </c>
      <c r="E178" s="1">
        <v>107837</v>
      </c>
      <c r="F178" s="41">
        <f t="shared" si="17"/>
        <v>21.789000000000001</v>
      </c>
      <c r="G178" s="22">
        <f t="shared" si="18"/>
        <v>86.494450042052136</v>
      </c>
      <c r="H178" s="45">
        <f t="shared" si="19"/>
        <v>13.571487810484989</v>
      </c>
      <c r="I178" s="42">
        <f t="shared" si="20"/>
        <v>100.06593785253713</v>
      </c>
      <c r="J178" s="30">
        <f t="shared" si="22"/>
        <v>310</v>
      </c>
      <c r="K178" s="195"/>
      <c r="L178" s="27">
        <f t="shared" si="21"/>
        <v>410.0659378525371</v>
      </c>
    </row>
    <row r="179" spans="1:12" x14ac:dyDescent="0.45">
      <c r="A179" s="318"/>
      <c r="B179" s="5" t="s">
        <v>11</v>
      </c>
      <c r="C179" s="2">
        <v>501</v>
      </c>
      <c r="D179" s="1">
        <v>4002614</v>
      </c>
      <c r="E179" s="1">
        <v>4034293</v>
      </c>
      <c r="F179" s="41">
        <f t="shared" si="17"/>
        <v>31.679000000000002</v>
      </c>
      <c r="G179" s="22">
        <f t="shared" si="18"/>
        <v>125.75417333894029</v>
      </c>
      <c r="H179" s="45">
        <f t="shared" si="19"/>
        <v>13.571487810484989</v>
      </c>
      <c r="I179" s="42">
        <f t="shared" si="20"/>
        <v>139.32566114942529</v>
      </c>
      <c r="J179" s="30">
        <f t="shared" si="22"/>
        <v>310</v>
      </c>
      <c r="K179" s="195">
        <v>10</v>
      </c>
      <c r="L179" s="27">
        <f t="shared" si="21"/>
        <v>459.32566114942529</v>
      </c>
    </row>
    <row r="180" spans="1:12" x14ac:dyDescent="0.45">
      <c r="A180" s="318"/>
      <c r="B180" s="5" t="s">
        <v>11</v>
      </c>
      <c r="C180" s="2">
        <v>502</v>
      </c>
      <c r="D180" s="1">
        <v>3987946</v>
      </c>
      <c r="E180" s="1">
        <v>4012478</v>
      </c>
      <c r="F180" s="41">
        <f t="shared" si="17"/>
        <v>24.532</v>
      </c>
      <c r="G180" s="22">
        <f t="shared" si="18"/>
        <v>97.383168040370052</v>
      </c>
      <c r="H180" s="45">
        <f t="shared" si="19"/>
        <v>13.571487810484989</v>
      </c>
      <c r="I180" s="42">
        <f t="shared" si="20"/>
        <v>110.95465585085503</v>
      </c>
      <c r="J180" s="30">
        <f t="shared" si="22"/>
        <v>310</v>
      </c>
      <c r="K180" s="195"/>
      <c r="L180" s="27">
        <f t="shared" si="21"/>
        <v>420.95465585085503</v>
      </c>
    </row>
    <row r="181" spans="1:12" x14ac:dyDescent="0.45">
      <c r="A181" s="318"/>
      <c r="B181" s="5" t="s">
        <v>11</v>
      </c>
      <c r="C181" s="2">
        <v>503</v>
      </c>
      <c r="D181" s="1">
        <v>2446134</v>
      </c>
      <c r="E181" s="1">
        <v>2464703</v>
      </c>
      <c r="F181" s="41">
        <f t="shared" si="17"/>
        <v>18.568999999999999</v>
      </c>
      <c r="G181" s="22">
        <f>MMULT($G$1,1/$F$183)*F181</f>
        <v>73.712214550042049</v>
      </c>
      <c r="H181" s="45">
        <f t="shared" si="19"/>
        <v>13.571487810484989</v>
      </c>
      <c r="I181" s="42">
        <f t="shared" si="20"/>
        <v>87.28370236052703</v>
      </c>
      <c r="J181" s="30">
        <f t="shared" si="22"/>
        <v>310</v>
      </c>
      <c r="K181" s="195"/>
      <c r="L181" s="27">
        <f t="shared" si="21"/>
        <v>397.28370236052706</v>
      </c>
    </row>
    <row r="182" spans="1:12" x14ac:dyDescent="0.45">
      <c r="A182" s="318"/>
      <c r="B182" s="5" t="s">
        <v>11</v>
      </c>
      <c r="C182" s="2">
        <v>504</v>
      </c>
      <c r="D182" s="1">
        <v>3354739</v>
      </c>
      <c r="E182" s="1">
        <v>3395933</v>
      </c>
      <c r="F182" s="41">
        <f>(E182-D182)*$N$1</f>
        <v>41.194000000000003</v>
      </c>
      <c r="G182" s="22">
        <f t="shared" si="18"/>
        <v>163.52528225399496</v>
      </c>
      <c r="H182" s="45">
        <f t="shared" si="19"/>
        <v>13.571487810484989</v>
      </c>
      <c r="I182" s="42">
        <f t="shared" si="20"/>
        <v>177.09677006447995</v>
      </c>
      <c r="J182" s="30">
        <f t="shared" si="22"/>
        <v>310</v>
      </c>
      <c r="K182" s="195"/>
      <c r="L182" s="27">
        <f t="shared" si="21"/>
        <v>487.09677006447998</v>
      </c>
    </row>
    <row r="183" spans="1:12" ht="15" customHeight="1" x14ac:dyDescent="0.45">
      <c r="F183" s="92">
        <f>SUM(F3:F182)</f>
        <v>2951.6120000000005</v>
      </c>
      <c r="G183" s="22">
        <f t="shared" si="18"/>
        <v>11716.832194112701</v>
      </c>
      <c r="H183" s="45">
        <f t="shared" si="19"/>
        <v>13.571487810484989</v>
      </c>
      <c r="K183" s="161" t="s">
        <v>12</v>
      </c>
    </row>
    <row r="184" spans="1:12" ht="15" customHeight="1" x14ac:dyDescent="0.45">
      <c r="F184" t="s">
        <v>12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8700.2999999999993</v>
      </c>
      <c r="F188" s="93">
        <v>2155</v>
      </c>
      <c r="G188" s="92">
        <f>MMULT(E188,1/F188)</f>
        <v>4.0372621809744773</v>
      </c>
      <c r="H188" s="20"/>
    </row>
    <row r="189" spans="1:12" ht="15" customHeight="1" thickBot="1" x14ac:dyDescent="0.5">
      <c r="D189" s="46">
        <v>6244619</v>
      </c>
      <c r="E189" s="88">
        <v>5459.4</v>
      </c>
      <c r="F189" s="94">
        <v>1412</v>
      </c>
      <c r="G189" s="92">
        <f>MMULT(E189,1/F189)</f>
        <v>3.8664305949008497</v>
      </c>
      <c r="H189" s="152"/>
    </row>
    <row r="190" spans="1:12" ht="15" customHeight="1" thickBot="1" x14ac:dyDescent="0.5">
      <c r="D190" s="6" t="s">
        <v>33</v>
      </c>
      <c r="E190" s="48">
        <f>SUM(E188:E189)</f>
        <v>14159.699999999999</v>
      </c>
      <c r="F190" s="95">
        <f>SUM(F188:F189)</f>
        <v>3567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19" t="s">
        <v>69</v>
      </c>
      <c r="E192" s="319"/>
      <c r="F192" s="49">
        <f>SUM(F190)</f>
        <v>3567</v>
      </c>
      <c r="G192" s="156">
        <f>SUM(I192)</f>
        <v>3.969638351555929</v>
      </c>
      <c r="H192" s="155" t="s">
        <v>12</v>
      </c>
      <c r="I192" s="157" cm="1">
        <f t="array" ref="I192">MMULT(E190,1/F190)</f>
        <v>3.969638351555929</v>
      </c>
    </row>
    <row r="193" spans="4:8" ht="15" customHeight="1" x14ac:dyDescent="0.45">
      <c r="D193" s="320" t="s">
        <v>271</v>
      </c>
      <c r="E193" s="321"/>
      <c r="F193" s="49">
        <f>SUM(F183)</f>
        <v>2951.6120000000005</v>
      </c>
      <c r="G193" s="27">
        <f>MMULT(F193,G192)</f>
        <v>11716.832194112701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615.38799999999947</v>
      </c>
      <c r="G194" s="158">
        <f>MMULT(F194,G192)</f>
        <v>2442.8678058872979</v>
      </c>
      <c r="H194" s="61"/>
    </row>
    <row r="195" spans="4:8" ht="15" customHeight="1" thickBot="1" x14ac:dyDescent="0.5">
      <c r="F195" s="7"/>
      <c r="G195" s="48">
        <f>SUM(G193:G194)</f>
        <v>14159.699999999999</v>
      </c>
    </row>
    <row r="196" spans="4:8" ht="15" customHeight="1" x14ac:dyDescent="0.45">
      <c r="F196" s="7"/>
    </row>
    <row r="197" spans="4:8" ht="15" customHeight="1" x14ac:dyDescent="0.45"/>
    <row r="198" spans="4:8" ht="15" customHeight="1" x14ac:dyDescent="0.45">
      <c r="D198" t="s">
        <v>70</v>
      </c>
      <c r="F198" s="20">
        <f>MAX(F3:F182)</f>
        <v>44.786999999999999</v>
      </c>
      <c r="G198" s="20">
        <f>MAX(I3:I182)</f>
        <v>191.35968066162039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13.571487810484989</v>
      </c>
    </row>
    <row r="200" spans="4:8" ht="15" customHeight="1" x14ac:dyDescent="0.45">
      <c r="D200" t="s">
        <v>265</v>
      </c>
      <c r="F200" s="92">
        <f>AVERAGE(F3:F182)</f>
        <v>16.397844444444448</v>
      </c>
      <c r="G200" s="92">
        <f>AVERAGE(G3:G182)</f>
        <v>65.093512189514996</v>
      </c>
    </row>
    <row r="201" spans="4:8" ht="15" customHeight="1" x14ac:dyDescent="0.45">
      <c r="D201" t="s">
        <v>273</v>
      </c>
      <c r="F201" s="92">
        <f>AVERAGE(F199,F198)</f>
        <v>22.3935</v>
      </c>
      <c r="G201" t="s">
        <v>12</v>
      </c>
    </row>
    <row r="202" spans="4:8" ht="15.75" customHeight="1" x14ac:dyDescent="0.45">
      <c r="D202" t="s">
        <v>12</v>
      </c>
      <c r="E202" t="s">
        <v>12</v>
      </c>
      <c r="F202" s="7"/>
    </row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D048-A77A-4ABE-BF4E-0FC7D17AC55E}">
  <dimension ref="A1:O2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L45" sqref="L45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3.863281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12291.762000580586</v>
      </c>
      <c r="H1" s="27">
        <f>SUM(G194)</f>
        <v>1924.5379994194145</v>
      </c>
      <c r="I1" s="316">
        <f>SUM(G1:H1)</f>
        <v>14216.3</v>
      </c>
      <c r="J1" s="317"/>
      <c r="K1" s="4" t="s">
        <v>12</v>
      </c>
      <c r="L1" s="4"/>
      <c r="N1">
        <v>1E-3</v>
      </c>
    </row>
    <row r="2" spans="1:15" ht="42.75" x14ac:dyDescent="0.45">
      <c r="B2" s="43" t="s">
        <v>0</v>
      </c>
      <c r="C2" s="44" t="s">
        <v>1</v>
      </c>
      <c r="D2" s="3">
        <v>44145</v>
      </c>
      <c r="E2" s="3">
        <v>44175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3146996</v>
      </c>
      <c r="E3" s="1">
        <v>3161310</v>
      </c>
      <c r="F3" s="41">
        <f>(E3-D3)*$N$1</f>
        <v>14.314</v>
      </c>
      <c r="G3" s="22">
        <f>MMULT($G$1,1/$F$183)*F3</f>
        <v>56.259916560685646</v>
      </c>
      <c r="H3" s="45">
        <f>MMULT($H$1,1/180)</f>
        <v>10.691877774552303</v>
      </c>
      <c r="I3" s="42">
        <f>SUM(G3,H3)</f>
        <v>66.951794335237949</v>
      </c>
      <c r="J3" s="30">
        <v>310</v>
      </c>
      <c r="K3" s="195"/>
      <c r="L3" s="27">
        <f>SUM(I3,J3,K3)</f>
        <v>376.95179433523793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2002721</v>
      </c>
      <c r="E4" s="1">
        <v>2056286</v>
      </c>
      <c r="F4" s="41">
        <f t="shared" ref="F4:F22" si="0">(E4-D4)*$N$1</f>
        <v>53.564999999999998</v>
      </c>
      <c r="G4" s="22">
        <f t="shared" ref="G4:G67" si="1">MMULT($G$1,1/$F$183)*F4</f>
        <v>210.53251575891622</v>
      </c>
      <c r="H4" s="45">
        <f t="shared" ref="H4:H67" si="2">MMULT($H$1,1/180)</f>
        <v>10.691877774552303</v>
      </c>
      <c r="I4" s="42">
        <f t="shared" ref="I4:I67" si="3">SUM(G4,H4)</f>
        <v>221.22439353346851</v>
      </c>
      <c r="J4" s="30">
        <f>SUM($J$3)</f>
        <v>310</v>
      </c>
      <c r="K4" s="195"/>
      <c r="L4" s="27">
        <f t="shared" ref="L4:L67" si="4">SUM(I4,J4,K4)</f>
        <v>531.22439353346851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2932094</v>
      </c>
      <c r="E5" s="1">
        <v>2941413</v>
      </c>
      <c r="F5" s="41">
        <f t="shared" si="0"/>
        <v>9.3190000000000008</v>
      </c>
      <c r="G5" s="22">
        <f t="shared" si="1"/>
        <v>36.62750890240531</v>
      </c>
      <c r="H5" s="45">
        <f t="shared" si="2"/>
        <v>10.691877774552303</v>
      </c>
      <c r="I5" s="42">
        <f t="shared" si="3"/>
        <v>47.319386676957613</v>
      </c>
      <c r="J5" s="30">
        <f t="shared" ref="J5:J68" si="5">SUM($J$3)</f>
        <v>310</v>
      </c>
      <c r="K5" s="195"/>
      <c r="L5" s="27">
        <f t="shared" si="4"/>
        <v>357.31938667695761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2540485</v>
      </c>
      <c r="E6" s="1">
        <v>2552015</v>
      </c>
      <c r="F6" s="41">
        <f t="shared" si="0"/>
        <v>11.53</v>
      </c>
      <c r="G6" s="22">
        <f t="shared" si="1"/>
        <v>45.31764970970417</v>
      </c>
      <c r="H6" s="45">
        <f t="shared" si="2"/>
        <v>10.691877774552303</v>
      </c>
      <c r="I6" s="42">
        <f t="shared" si="3"/>
        <v>56.009527484256473</v>
      </c>
      <c r="J6" s="30">
        <f t="shared" si="5"/>
        <v>310</v>
      </c>
      <c r="K6" s="195"/>
      <c r="L6" s="27">
        <f t="shared" si="4"/>
        <v>366.00952748425647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3717909</v>
      </c>
      <c r="E7" s="1">
        <v>3733618</v>
      </c>
      <c r="F7" s="41">
        <f t="shared" si="0"/>
        <v>15.709</v>
      </c>
      <c r="G7" s="22">
        <f t="shared" si="1"/>
        <v>61.742841222007186</v>
      </c>
      <c r="H7" s="45">
        <f t="shared" si="2"/>
        <v>10.691877774552303</v>
      </c>
      <c r="I7" s="42">
        <f t="shared" si="3"/>
        <v>72.434718996559496</v>
      </c>
      <c r="J7" s="30">
        <f t="shared" si="5"/>
        <v>310</v>
      </c>
      <c r="K7" s="195"/>
      <c r="L7" s="27">
        <f t="shared" si="4"/>
        <v>382.43471899655947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189392</v>
      </c>
      <c r="E8" s="1">
        <v>204785</v>
      </c>
      <c r="F8" s="41">
        <f t="shared" si="0"/>
        <v>15.393000000000001</v>
      </c>
      <c r="G8" s="22">
        <f t="shared" si="1"/>
        <v>60.500831047829692</v>
      </c>
      <c r="H8" s="45">
        <f t="shared" si="2"/>
        <v>10.691877774552303</v>
      </c>
      <c r="I8" s="42">
        <f t="shared" si="3"/>
        <v>71.192708822382002</v>
      </c>
      <c r="J8" s="30">
        <f t="shared" si="5"/>
        <v>310</v>
      </c>
      <c r="K8" s="195"/>
      <c r="L8" s="27">
        <f t="shared" si="4"/>
        <v>381.19270882238197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4941487</v>
      </c>
      <c r="E9" s="1">
        <v>4959275</v>
      </c>
      <c r="F9" s="41">
        <f t="shared" si="0"/>
        <v>17.788</v>
      </c>
      <c r="G9" s="22">
        <f t="shared" si="1"/>
        <v>69.914167652750891</v>
      </c>
      <c r="H9" s="45">
        <f t="shared" si="2"/>
        <v>10.691877774552303</v>
      </c>
      <c r="I9" s="42">
        <f t="shared" si="3"/>
        <v>80.606045427303201</v>
      </c>
      <c r="J9" s="30">
        <f t="shared" si="5"/>
        <v>310</v>
      </c>
      <c r="K9" s="195"/>
      <c r="L9" s="27">
        <f t="shared" si="4"/>
        <v>390.60604542730323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1981660</v>
      </c>
      <c r="E10" s="1">
        <v>1990724</v>
      </c>
      <c r="F10" s="41">
        <f t="shared" si="0"/>
        <v>9.0640000000000001</v>
      </c>
      <c r="G10" s="22">
        <f t="shared" si="1"/>
        <v>35.625253856787388</v>
      </c>
      <c r="H10" s="45">
        <f t="shared" si="2"/>
        <v>10.691877774552303</v>
      </c>
      <c r="I10" s="42">
        <f t="shared" si="3"/>
        <v>46.317131631339691</v>
      </c>
      <c r="J10" s="30">
        <f t="shared" si="5"/>
        <v>310</v>
      </c>
      <c r="K10" s="195"/>
      <c r="L10" s="27">
        <f t="shared" si="4"/>
        <v>356.31713163133969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4050827</v>
      </c>
      <c r="E11" s="1">
        <v>4077307</v>
      </c>
      <c r="F11" s="41">
        <f t="shared" si="0"/>
        <v>26.48</v>
      </c>
      <c r="G11" s="22">
        <f t="shared" si="1"/>
        <v>104.07730826651921</v>
      </c>
      <c r="H11" s="45">
        <f t="shared" si="2"/>
        <v>10.691877774552303</v>
      </c>
      <c r="I11" s="42">
        <f t="shared" si="3"/>
        <v>114.76918604107152</v>
      </c>
      <c r="J11" s="30">
        <f t="shared" si="5"/>
        <v>310</v>
      </c>
      <c r="K11" s="195">
        <v>10</v>
      </c>
      <c r="L11" s="27">
        <f t="shared" si="4"/>
        <v>434.76918604107152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4381012</v>
      </c>
      <c r="E12" s="1">
        <v>4404464</v>
      </c>
      <c r="F12" s="41">
        <f>(E12-D12)*$N$1</f>
        <v>23.452000000000002</v>
      </c>
      <c r="G12" s="22">
        <f t="shared" si="1"/>
        <v>92.176020901299424</v>
      </c>
      <c r="H12" s="45">
        <f t="shared" si="2"/>
        <v>10.691877774552303</v>
      </c>
      <c r="I12" s="42">
        <f t="shared" si="3"/>
        <v>102.86789867585173</v>
      </c>
      <c r="J12" s="30">
        <f t="shared" si="5"/>
        <v>310</v>
      </c>
      <c r="K12" s="195"/>
      <c r="L12" s="27">
        <f t="shared" si="4"/>
        <v>412.86789867585173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3632070</v>
      </c>
      <c r="E13" s="1">
        <v>3648896</v>
      </c>
      <c r="F13" s="41">
        <f t="shared" si="0"/>
        <v>16.826000000000001</v>
      </c>
      <c r="G13" s="22">
        <f t="shared" si="1"/>
        <v>66.133111363008013</v>
      </c>
      <c r="H13" s="45">
        <f t="shared" si="2"/>
        <v>10.691877774552303</v>
      </c>
      <c r="I13" s="42">
        <f t="shared" si="3"/>
        <v>76.824989137560323</v>
      </c>
      <c r="J13" s="30">
        <f t="shared" si="5"/>
        <v>310</v>
      </c>
      <c r="K13" s="195"/>
      <c r="L13" s="27">
        <f t="shared" si="4"/>
        <v>386.82498913756035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1689979</v>
      </c>
      <c r="E14" s="1">
        <v>1718107</v>
      </c>
      <c r="F14" s="41">
        <f t="shared" si="0"/>
        <v>28.128</v>
      </c>
      <c r="G14" s="22">
        <f t="shared" si="1"/>
        <v>110.55462714957146</v>
      </c>
      <c r="H14" s="45">
        <f t="shared" si="2"/>
        <v>10.691877774552303</v>
      </c>
      <c r="I14" s="42">
        <f t="shared" si="3"/>
        <v>121.24650492412377</v>
      </c>
      <c r="J14" s="30">
        <f t="shared" si="5"/>
        <v>310</v>
      </c>
      <c r="K14" s="195"/>
      <c r="L14" s="27">
        <f t="shared" si="4"/>
        <v>431.24650492412377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2237387</v>
      </c>
      <c r="E15" s="1">
        <v>2239515</v>
      </c>
      <c r="F15" s="41">
        <f t="shared" si="0"/>
        <v>2.1280000000000001</v>
      </c>
      <c r="G15" s="22">
        <f t="shared" si="1"/>
        <v>8.3639166159800933</v>
      </c>
      <c r="H15" s="45">
        <f t="shared" si="2"/>
        <v>10.691877774552303</v>
      </c>
      <c r="I15" s="42">
        <f t="shared" si="3"/>
        <v>19.055794390532398</v>
      </c>
      <c r="J15" s="30">
        <f t="shared" si="5"/>
        <v>310</v>
      </c>
      <c r="K15" s="195"/>
      <c r="L15" s="27">
        <f t="shared" si="4"/>
        <v>329.05579439053241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5592858</v>
      </c>
      <c r="E16" s="1">
        <v>5598320</v>
      </c>
      <c r="F16" s="41">
        <f t="shared" si="0"/>
        <v>5.4619999999999997</v>
      </c>
      <c r="G16" s="22">
        <f t="shared" si="1"/>
        <v>21.467910035941387</v>
      </c>
      <c r="H16" s="45">
        <f t="shared" si="2"/>
        <v>10.691877774552303</v>
      </c>
      <c r="I16" s="42">
        <f t="shared" si="3"/>
        <v>32.15978781049369</v>
      </c>
      <c r="J16" s="30">
        <f t="shared" si="5"/>
        <v>310</v>
      </c>
      <c r="K16" s="195"/>
      <c r="L16" s="27">
        <f t="shared" si="4"/>
        <v>342.1597878104937</v>
      </c>
    </row>
    <row r="17" spans="1:12" ht="15" customHeight="1" x14ac:dyDescent="0.45">
      <c r="A17" s="318"/>
      <c r="B17" s="5" t="s">
        <v>3</v>
      </c>
      <c r="C17" s="2">
        <v>403</v>
      </c>
      <c r="D17" s="1">
        <v>3007624</v>
      </c>
      <c r="E17" s="1">
        <v>3007998</v>
      </c>
      <c r="F17" s="41">
        <f t="shared" si="0"/>
        <v>0.374</v>
      </c>
      <c r="G17" s="22">
        <f t="shared" si="1"/>
        <v>1.4699740669062757</v>
      </c>
      <c r="H17" s="45">
        <f t="shared" si="2"/>
        <v>10.691877774552303</v>
      </c>
      <c r="I17" s="42">
        <f t="shared" si="3"/>
        <v>12.161851841458578</v>
      </c>
      <c r="J17" s="30">
        <f t="shared" si="5"/>
        <v>310</v>
      </c>
      <c r="K17" s="195"/>
      <c r="L17" s="27">
        <f t="shared" si="4"/>
        <v>322.1618518414586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2673141</v>
      </c>
      <c r="E18" s="1">
        <v>2684237</v>
      </c>
      <c r="F18" s="41">
        <f t="shared" si="0"/>
        <v>11.096</v>
      </c>
      <c r="G18" s="22">
        <f t="shared" si="1"/>
        <v>43.611850926181916</v>
      </c>
      <c r="H18" s="45">
        <f t="shared" si="2"/>
        <v>10.691877774552303</v>
      </c>
      <c r="I18" s="42">
        <f t="shared" si="3"/>
        <v>54.303728700734219</v>
      </c>
      <c r="J18" s="30">
        <f t="shared" si="5"/>
        <v>310</v>
      </c>
      <c r="K18" s="195"/>
      <c r="L18" s="27">
        <f t="shared" si="4"/>
        <v>364.30372870073421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3913149</v>
      </c>
      <c r="E19" s="1">
        <v>3936062</v>
      </c>
      <c r="F19" s="41">
        <f t="shared" si="0"/>
        <v>22.913</v>
      </c>
      <c r="G19" s="22">
        <f t="shared" si="1"/>
        <v>90.05752886369919</v>
      </c>
      <c r="H19" s="45">
        <f t="shared" si="2"/>
        <v>10.691877774552303</v>
      </c>
      <c r="I19" s="42">
        <f t="shared" si="3"/>
        <v>100.74940663825149</v>
      </c>
      <c r="J19" s="30">
        <f t="shared" si="5"/>
        <v>310</v>
      </c>
      <c r="K19" s="195"/>
      <c r="L19" s="27">
        <f t="shared" si="4"/>
        <v>410.74940663825146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5866254</v>
      </c>
      <c r="E20" s="1">
        <v>5898632</v>
      </c>
      <c r="F20" s="41">
        <f t="shared" si="0"/>
        <v>32.378</v>
      </c>
      <c r="G20" s="22">
        <f t="shared" si="1"/>
        <v>127.25887790987005</v>
      </c>
      <c r="H20" s="45">
        <f t="shared" si="2"/>
        <v>10.691877774552303</v>
      </c>
      <c r="I20" s="42">
        <f t="shared" si="3"/>
        <v>137.95075568442235</v>
      </c>
      <c r="J20" s="30">
        <f t="shared" si="5"/>
        <v>310</v>
      </c>
      <c r="K20" s="195"/>
      <c r="L20" s="27">
        <f t="shared" si="4"/>
        <v>447.95075568442235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1989663</v>
      </c>
      <c r="E21" s="1">
        <v>2013086</v>
      </c>
      <c r="F21" s="41">
        <f t="shared" si="0"/>
        <v>23.423000000000002</v>
      </c>
      <c r="G21" s="22">
        <f t="shared" si="1"/>
        <v>92.062038954935034</v>
      </c>
      <c r="H21" s="45">
        <f t="shared" si="2"/>
        <v>10.691877774552303</v>
      </c>
      <c r="I21" s="42">
        <f t="shared" si="3"/>
        <v>102.75391672948734</v>
      </c>
      <c r="J21" s="30">
        <f t="shared" si="5"/>
        <v>310</v>
      </c>
      <c r="K21" s="195"/>
      <c r="L21" s="27">
        <f t="shared" si="4"/>
        <v>412.75391672948734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299179</v>
      </c>
      <c r="E22" s="1">
        <v>302561</v>
      </c>
      <c r="F22" s="41">
        <f t="shared" si="0"/>
        <v>3.3820000000000001</v>
      </c>
      <c r="G22" s="22">
        <f t="shared" si="1"/>
        <v>13.292653193254077</v>
      </c>
      <c r="H22" s="45">
        <f t="shared" si="2"/>
        <v>10.691877774552303</v>
      </c>
      <c r="I22" s="42">
        <f t="shared" si="3"/>
        <v>23.984530967806378</v>
      </c>
      <c r="J22" s="30">
        <f t="shared" si="5"/>
        <v>310</v>
      </c>
      <c r="K22" s="195"/>
      <c r="L22" s="27">
        <f t="shared" si="4"/>
        <v>333.98453096780639</v>
      </c>
    </row>
    <row r="23" spans="1:12" ht="15" customHeight="1" x14ac:dyDescent="0.45">
      <c r="A23" s="314"/>
      <c r="B23" s="5" t="s">
        <v>4</v>
      </c>
      <c r="C23" s="2">
        <v>101</v>
      </c>
      <c r="D23" s="1">
        <v>86963</v>
      </c>
      <c r="E23" s="1">
        <v>87869</v>
      </c>
      <c r="F23" s="41">
        <f>(E23-D23)*0.01</f>
        <v>9.06</v>
      </c>
      <c r="G23" s="22">
        <f t="shared" si="1"/>
        <v>35.609532209012997</v>
      </c>
      <c r="H23" s="45">
        <f t="shared" si="2"/>
        <v>10.691877774552303</v>
      </c>
      <c r="I23" s="42">
        <f t="shared" si="3"/>
        <v>46.3014099835653</v>
      </c>
      <c r="J23" s="30">
        <f t="shared" si="5"/>
        <v>310</v>
      </c>
      <c r="K23" s="195"/>
      <c r="L23" s="27">
        <f t="shared" si="4"/>
        <v>356.30140998356529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3545473</v>
      </c>
      <c r="E24" s="1">
        <v>3564328</v>
      </c>
      <c r="F24" s="41">
        <f t="shared" ref="F24:F32" si="6">(E24-D24)*$N$1</f>
        <v>18.855</v>
      </c>
      <c r="G24" s="22">
        <f t="shared" si="1"/>
        <v>74.107917196571748</v>
      </c>
      <c r="H24" s="45">
        <f t="shared" si="2"/>
        <v>10.691877774552303</v>
      </c>
      <c r="I24" s="42">
        <f t="shared" si="3"/>
        <v>84.799794971124044</v>
      </c>
      <c r="J24" s="30">
        <f t="shared" si="5"/>
        <v>310</v>
      </c>
      <c r="K24" s="195">
        <v>10</v>
      </c>
      <c r="L24" s="27">
        <f t="shared" si="4"/>
        <v>404.79979497112402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3511444</v>
      </c>
      <c r="E25" s="1">
        <v>3530794</v>
      </c>
      <c r="F25" s="41">
        <f t="shared" si="6"/>
        <v>19.350000000000001</v>
      </c>
      <c r="G25" s="22">
        <f t="shared" si="1"/>
        <v>76.053471108653582</v>
      </c>
      <c r="H25" s="45">
        <f t="shared" si="2"/>
        <v>10.691877774552303</v>
      </c>
      <c r="I25" s="42">
        <f t="shared" si="3"/>
        <v>86.745348883205878</v>
      </c>
      <c r="J25" s="30">
        <f t="shared" si="5"/>
        <v>310</v>
      </c>
      <c r="K25" s="195"/>
      <c r="L25" s="27">
        <f t="shared" si="4"/>
        <v>396.74534888320591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5323652</v>
      </c>
      <c r="E26" s="1">
        <v>5335839</v>
      </c>
      <c r="F26" s="41">
        <f t="shared" si="6"/>
        <v>12.186999999999999</v>
      </c>
      <c r="G26" s="22">
        <f t="shared" si="1"/>
        <v>47.899930356649151</v>
      </c>
      <c r="H26" s="45">
        <f t="shared" si="2"/>
        <v>10.691877774552303</v>
      </c>
      <c r="I26" s="42">
        <f t="shared" si="3"/>
        <v>58.591808131201454</v>
      </c>
      <c r="J26" s="30">
        <f t="shared" si="5"/>
        <v>310</v>
      </c>
      <c r="K26" s="195"/>
      <c r="L26" s="27">
        <f t="shared" si="4"/>
        <v>368.59180813120145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2839739</v>
      </c>
      <c r="E27" s="1">
        <v>2868349</v>
      </c>
      <c r="F27" s="41">
        <f t="shared" si="6"/>
        <v>28.61</v>
      </c>
      <c r="G27" s="22">
        <f t="shared" si="1"/>
        <v>112.4490857063865</v>
      </c>
      <c r="H27" s="45">
        <f t="shared" si="2"/>
        <v>10.691877774552303</v>
      </c>
      <c r="I27" s="42">
        <f t="shared" si="3"/>
        <v>123.14096348093881</v>
      </c>
      <c r="J27" s="30">
        <f t="shared" si="5"/>
        <v>310</v>
      </c>
      <c r="K27" s="195"/>
      <c r="L27" s="27">
        <f t="shared" si="4"/>
        <v>433.14096348093881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2591799</v>
      </c>
      <c r="E28" s="1">
        <v>2601850</v>
      </c>
      <c r="F28" s="41">
        <f t="shared" si="6"/>
        <v>10.051</v>
      </c>
      <c r="G28" s="22">
        <f t="shared" si="1"/>
        <v>39.504570445120265</v>
      </c>
      <c r="H28" s="45">
        <f t="shared" si="2"/>
        <v>10.691877774552303</v>
      </c>
      <c r="I28" s="42">
        <f t="shared" si="3"/>
        <v>50.196448219672568</v>
      </c>
      <c r="J28" s="30">
        <f t="shared" si="5"/>
        <v>310</v>
      </c>
      <c r="K28" s="195"/>
      <c r="L28" s="27">
        <f t="shared" si="4"/>
        <v>360.19644821967256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2498395</v>
      </c>
      <c r="E29" s="1">
        <v>2509100</v>
      </c>
      <c r="F29" s="41">
        <f t="shared" si="6"/>
        <v>10.705</v>
      </c>
      <c r="G29" s="22">
        <f t="shared" si="1"/>
        <v>42.075059856234446</v>
      </c>
      <c r="H29" s="45">
        <f t="shared" si="2"/>
        <v>10.691877774552303</v>
      </c>
      <c r="I29" s="42">
        <f t="shared" si="3"/>
        <v>52.766937630786749</v>
      </c>
      <c r="J29" s="30">
        <f t="shared" si="5"/>
        <v>310</v>
      </c>
      <c r="K29" s="195"/>
      <c r="L29" s="27">
        <f t="shared" si="4"/>
        <v>362.76693763078674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2835045</v>
      </c>
      <c r="E30" s="1">
        <v>2849089</v>
      </c>
      <c r="F30" s="41">
        <f t="shared" si="6"/>
        <v>14.044</v>
      </c>
      <c r="G30" s="22">
        <f t="shared" si="1"/>
        <v>55.198705335913743</v>
      </c>
      <c r="H30" s="45">
        <f t="shared" si="2"/>
        <v>10.691877774552303</v>
      </c>
      <c r="I30" s="42">
        <f t="shared" si="3"/>
        <v>65.890583110466054</v>
      </c>
      <c r="J30" s="30">
        <f t="shared" si="5"/>
        <v>310</v>
      </c>
      <c r="K30" s="195"/>
      <c r="L30" s="27">
        <f t="shared" si="4"/>
        <v>375.89058311046608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4254944</v>
      </c>
      <c r="E31" s="1">
        <v>4295551</v>
      </c>
      <c r="F31" s="41">
        <f t="shared" si="6"/>
        <v>40.606999999999999</v>
      </c>
      <c r="G31" s="22">
        <f t="shared" si="1"/>
        <v>159.60223779375173</v>
      </c>
      <c r="H31" s="45">
        <f t="shared" si="2"/>
        <v>10.691877774552303</v>
      </c>
      <c r="I31" s="42">
        <f t="shared" si="3"/>
        <v>170.29411556830402</v>
      </c>
      <c r="J31" s="30">
        <f t="shared" si="5"/>
        <v>310</v>
      </c>
      <c r="K31" s="195">
        <v>10</v>
      </c>
      <c r="L31" s="27">
        <f t="shared" si="4"/>
        <v>490.29411556830405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2588441</v>
      </c>
      <c r="E32" s="1">
        <v>2601746</v>
      </c>
      <c r="F32" s="41">
        <f t="shared" si="6"/>
        <v>13.305</v>
      </c>
      <c r="G32" s="22">
        <f t="shared" si="1"/>
        <v>52.294130909593584</v>
      </c>
      <c r="H32" s="45">
        <f t="shared" si="2"/>
        <v>10.691877774552303</v>
      </c>
      <c r="I32" s="42">
        <f t="shared" si="3"/>
        <v>62.986008684145887</v>
      </c>
      <c r="J32" s="30">
        <f t="shared" si="5"/>
        <v>310</v>
      </c>
      <c r="K32" s="195"/>
      <c r="L32" s="27">
        <f t="shared" si="4"/>
        <v>372.98600868414587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120128</v>
      </c>
      <c r="E33" s="1">
        <v>121510</v>
      </c>
      <c r="F33" s="41">
        <f>(E33-D33)*0.01</f>
        <v>13.82</v>
      </c>
      <c r="G33" s="22">
        <f t="shared" si="1"/>
        <v>54.318293060547411</v>
      </c>
      <c r="H33" s="45">
        <f t="shared" si="2"/>
        <v>10.691877774552303</v>
      </c>
      <c r="I33" s="42">
        <f t="shared" si="3"/>
        <v>65.010170835099714</v>
      </c>
      <c r="J33" s="30">
        <f t="shared" si="5"/>
        <v>310</v>
      </c>
      <c r="K33" s="195"/>
      <c r="L33" s="27">
        <f t="shared" si="4"/>
        <v>375.0101708350997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3485265</v>
      </c>
      <c r="E34" s="1">
        <v>3507175</v>
      </c>
      <c r="F34" s="41">
        <f t="shared" ref="F34:F42" si="7">(E34-D34)*$N$1</f>
        <v>21.91</v>
      </c>
      <c r="G34" s="22">
        <f t="shared" si="1"/>
        <v>86.115325684268726</v>
      </c>
      <c r="H34" s="45">
        <f t="shared" si="2"/>
        <v>10.691877774552303</v>
      </c>
      <c r="I34" s="42">
        <f t="shared" si="3"/>
        <v>96.807203458821022</v>
      </c>
      <c r="J34" s="30">
        <f t="shared" si="5"/>
        <v>310</v>
      </c>
      <c r="K34" s="195"/>
      <c r="L34" s="27">
        <f t="shared" si="4"/>
        <v>406.80720345882105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3331820</v>
      </c>
      <c r="E35" s="1">
        <v>3343411</v>
      </c>
      <c r="F35" s="41">
        <f t="shared" si="7"/>
        <v>11.591000000000001</v>
      </c>
      <c r="G35" s="22">
        <f t="shared" si="1"/>
        <v>45.557404838263757</v>
      </c>
      <c r="H35" s="45">
        <f t="shared" si="2"/>
        <v>10.691877774552303</v>
      </c>
      <c r="I35" s="42">
        <f t="shared" si="3"/>
        <v>56.24928261281606</v>
      </c>
      <c r="J35" s="30">
        <f t="shared" si="5"/>
        <v>310</v>
      </c>
      <c r="K35" s="195"/>
      <c r="L35" s="27">
        <f t="shared" si="4"/>
        <v>366.24928261281605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1368254</v>
      </c>
      <c r="E36" s="1">
        <v>1392107</v>
      </c>
      <c r="F36" s="41">
        <f t="shared" si="7"/>
        <v>23.853000000000002</v>
      </c>
      <c r="G36" s="22">
        <f t="shared" si="1"/>
        <v>93.75211609068289</v>
      </c>
      <c r="H36" s="45">
        <f t="shared" si="2"/>
        <v>10.691877774552303</v>
      </c>
      <c r="I36" s="42">
        <f t="shared" si="3"/>
        <v>104.4439938652352</v>
      </c>
      <c r="J36" s="30">
        <f t="shared" si="5"/>
        <v>310</v>
      </c>
      <c r="K36" s="195"/>
      <c r="L36" s="27">
        <f t="shared" si="4"/>
        <v>414.4439938652352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14009</v>
      </c>
      <c r="E37" s="1">
        <v>14009</v>
      </c>
      <c r="F37" s="41">
        <f t="shared" si="7"/>
        <v>0</v>
      </c>
      <c r="G37" s="22">
        <f t="shared" si="1"/>
        <v>0</v>
      </c>
      <c r="H37" s="45">
        <f t="shared" si="2"/>
        <v>10.691877774552303</v>
      </c>
      <c r="I37" s="42">
        <f t="shared" si="3"/>
        <v>10.691877774552303</v>
      </c>
      <c r="J37" s="30">
        <f t="shared" si="5"/>
        <v>310</v>
      </c>
      <c r="K37" s="195"/>
      <c r="L37" s="27">
        <f t="shared" si="4"/>
        <v>320.69187777455232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3917140</v>
      </c>
      <c r="E38" s="1">
        <v>3941204</v>
      </c>
      <c r="F38" s="41">
        <f t="shared" si="7"/>
        <v>24.064</v>
      </c>
      <c r="G38" s="22">
        <f t="shared" si="1"/>
        <v>94.581433010782419</v>
      </c>
      <c r="H38" s="45">
        <f t="shared" si="2"/>
        <v>10.691877774552303</v>
      </c>
      <c r="I38" s="42">
        <f t="shared" si="3"/>
        <v>105.27331078533473</v>
      </c>
      <c r="J38" s="30">
        <f t="shared" si="5"/>
        <v>310</v>
      </c>
      <c r="K38" s="195"/>
      <c r="L38" s="27">
        <f t="shared" si="4"/>
        <v>415.27331078533473</v>
      </c>
    </row>
    <row r="39" spans="1:12" ht="15" customHeight="1" x14ac:dyDescent="0.45">
      <c r="A39" s="314"/>
      <c r="B39" s="5" t="s">
        <v>4</v>
      </c>
      <c r="C39" s="2">
        <v>501</v>
      </c>
      <c r="D39" s="1">
        <v>5210011</v>
      </c>
      <c r="E39" s="1">
        <v>5251461</v>
      </c>
      <c r="F39" s="41">
        <f t="shared" si="7"/>
        <v>41.45</v>
      </c>
      <c r="G39" s="22">
        <f t="shared" si="1"/>
        <v>162.91557506220624</v>
      </c>
      <c r="H39" s="45">
        <f t="shared" si="2"/>
        <v>10.691877774552303</v>
      </c>
      <c r="I39" s="42">
        <f t="shared" si="3"/>
        <v>173.60745283675854</v>
      </c>
      <c r="J39" s="30">
        <f t="shared" si="5"/>
        <v>310</v>
      </c>
      <c r="K39" s="195">
        <v>10</v>
      </c>
      <c r="L39" s="27">
        <f t="shared" si="4"/>
        <v>493.60745283675851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6756489</v>
      </c>
      <c r="E40" s="1">
        <v>6779623</v>
      </c>
      <c r="F40" s="41">
        <f t="shared" si="7"/>
        <v>23.134</v>
      </c>
      <c r="G40" s="22">
        <f t="shared" si="1"/>
        <v>90.926149903234716</v>
      </c>
      <c r="H40" s="45">
        <f t="shared" si="2"/>
        <v>10.691877774552303</v>
      </c>
      <c r="I40" s="42">
        <f t="shared" si="3"/>
        <v>101.61802767778701</v>
      </c>
      <c r="J40" s="30">
        <f t="shared" si="5"/>
        <v>310</v>
      </c>
      <c r="K40" s="195"/>
      <c r="L40" s="27">
        <f t="shared" si="4"/>
        <v>411.61802767778704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3818113</v>
      </c>
      <c r="E41" s="1">
        <v>3836563</v>
      </c>
      <c r="F41" s="41">
        <f t="shared" si="7"/>
        <v>18.45</v>
      </c>
      <c r="G41" s="22">
        <f t="shared" si="1"/>
        <v>72.516100359413869</v>
      </c>
      <c r="H41" s="45">
        <f t="shared" si="2"/>
        <v>10.691877774552303</v>
      </c>
      <c r="I41" s="42">
        <f t="shared" si="3"/>
        <v>83.207978133966179</v>
      </c>
      <c r="J41" s="30">
        <f t="shared" si="5"/>
        <v>310</v>
      </c>
      <c r="K41" s="195">
        <v>10</v>
      </c>
      <c r="L41" s="27">
        <f t="shared" si="4"/>
        <v>403.20797813396621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2984468</v>
      </c>
      <c r="E42" s="1">
        <v>2990884</v>
      </c>
      <c r="F42" s="41">
        <f t="shared" si="7"/>
        <v>6.4160000000000004</v>
      </c>
      <c r="G42" s="22">
        <f t="shared" si="1"/>
        <v>25.217523030135471</v>
      </c>
      <c r="H42" s="45">
        <f t="shared" si="2"/>
        <v>10.691877774552303</v>
      </c>
      <c r="I42" s="42">
        <f t="shared" si="3"/>
        <v>35.909400804687778</v>
      </c>
      <c r="J42" s="30">
        <f t="shared" si="5"/>
        <v>310</v>
      </c>
      <c r="K42" s="195"/>
      <c r="L42" s="27">
        <f t="shared" si="4"/>
        <v>345.90940080468778</v>
      </c>
    </row>
    <row r="43" spans="1:12" ht="15" customHeight="1" x14ac:dyDescent="0.45">
      <c r="A43" s="318"/>
      <c r="B43" s="5" t="s">
        <v>5</v>
      </c>
      <c r="C43" s="2">
        <v>101</v>
      </c>
      <c r="D43" s="1">
        <v>31991</v>
      </c>
      <c r="E43" s="1">
        <v>32677</v>
      </c>
      <c r="F43" s="41">
        <f>(E43-D43)*0.01</f>
        <v>6.86</v>
      </c>
      <c r="G43" s="22">
        <f t="shared" si="1"/>
        <v>26.962625933093722</v>
      </c>
      <c r="H43" s="45">
        <f t="shared" si="2"/>
        <v>10.691877774552303</v>
      </c>
      <c r="I43" s="42">
        <f t="shared" si="3"/>
        <v>37.654503707646029</v>
      </c>
      <c r="J43" s="30">
        <f t="shared" si="5"/>
        <v>310</v>
      </c>
      <c r="K43" s="195"/>
      <c r="L43" s="27">
        <f t="shared" si="4"/>
        <v>347.65450370764603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2997958</v>
      </c>
      <c r="E44" s="1">
        <v>3019232</v>
      </c>
      <c r="F44" s="41">
        <f t="shared" ref="F44:F56" si="8">(E44-D44)*$N$1</f>
        <v>21.274000000000001</v>
      </c>
      <c r="G44" s="22">
        <f t="shared" si="1"/>
        <v>83.615583688139338</v>
      </c>
      <c r="H44" s="45">
        <f t="shared" si="2"/>
        <v>10.691877774552303</v>
      </c>
      <c r="I44" s="42">
        <f t="shared" si="3"/>
        <v>94.307461462691634</v>
      </c>
      <c r="J44" s="30">
        <f t="shared" si="5"/>
        <v>310</v>
      </c>
      <c r="K44" s="195"/>
      <c r="L44" s="27">
        <f t="shared" si="4"/>
        <v>404.30746146269166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986841</v>
      </c>
      <c r="E45" s="1">
        <v>989560</v>
      </c>
      <c r="F45" s="41">
        <f>(E45-D45)*0.01</f>
        <v>27.19</v>
      </c>
      <c r="G45" s="22">
        <f t="shared" si="1"/>
        <v>106.86790074647497</v>
      </c>
      <c r="H45" s="45">
        <f t="shared" si="2"/>
        <v>10.691877774552303</v>
      </c>
      <c r="I45" s="42">
        <f t="shared" si="3"/>
        <v>117.55977852102728</v>
      </c>
      <c r="J45" s="30">
        <f t="shared" si="5"/>
        <v>310</v>
      </c>
      <c r="K45" s="195">
        <v>-95.65</v>
      </c>
      <c r="L45" s="27">
        <f t="shared" si="4"/>
        <v>331.90977852102731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4287723</v>
      </c>
      <c r="E46" s="1">
        <v>4306209</v>
      </c>
      <c r="F46" s="41">
        <f t="shared" si="8"/>
        <v>18.486000000000001</v>
      </c>
      <c r="G46" s="22">
        <f t="shared" si="1"/>
        <v>72.657595189383471</v>
      </c>
      <c r="H46" s="45">
        <f t="shared" si="2"/>
        <v>10.691877774552303</v>
      </c>
      <c r="I46" s="42">
        <f t="shared" si="3"/>
        <v>83.349472963935767</v>
      </c>
      <c r="J46" s="30">
        <f t="shared" si="5"/>
        <v>310</v>
      </c>
      <c r="K46" s="195"/>
      <c r="L46" s="27">
        <f t="shared" si="4"/>
        <v>393.3494729639358</v>
      </c>
    </row>
    <row r="47" spans="1:12" ht="15" customHeight="1" x14ac:dyDescent="0.45">
      <c r="A47" s="318"/>
      <c r="B47" s="5" t="s">
        <v>5</v>
      </c>
      <c r="C47" s="2">
        <v>201</v>
      </c>
      <c r="D47" s="1">
        <v>4101378</v>
      </c>
      <c r="E47" s="1">
        <v>4138018</v>
      </c>
      <c r="F47" s="41">
        <f t="shared" si="8"/>
        <v>36.64</v>
      </c>
      <c r="G47" s="22">
        <f t="shared" si="1"/>
        <v>144.01029361349185</v>
      </c>
      <c r="H47" s="45">
        <f t="shared" si="2"/>
        <v>10.691877774552303</v>
      </c>
      <c r="I47" s="42">
        <f t="shared" si="3"/>
        <v>154.70217138804415</v>
      </c>
      <c r="J47" s="30">
        <f t="shared" si="5"/>
        <v>310</v>
      </c>
      <c r="K47" s="195"/>
      <c r="L47" s="27">
        <f t="shared" si="4"/>
        <v>464.70217138804412</v>
      </c>
    </row>
    <row r="48" spans="1:12" ht="15" customHeight="1" x14ac:dyDescent="0.45">
      <c r="A48" s="318"/>
      <c r="B48" s="5" t="s">
        <v>5</v>
      </c>
      <c r="C48" s="2">
        <v>202</v>
      </c>
      <c r="D48" s="1">
        <v>3145349</v>
      </c>
      <c r="E48" s="1">
        <v>3175293</v>
      </c>
      <c r="F48" s="41">
        <f t="shared" si="8"/>
        <v>29.943999999999999</v>
      </c>
      <c r="G48" s="22">
        <f t="shared" si="1"/>
        <v>117.69225523914845</v>
      </c>
      <c r="H48" s="45">
        <f t="shared" si="2"/>
        <v>10.691877774552303</v>
      </c>
      <c r="I48" s="42">
        <f t="shared" si="3"/>
        <v>128.38413301370076</v>
      </c>
      <c r="J48" s="30">
        <f t="shared" si="5"/>
        <v>310</v>
      </c>
      <c r="K48" s="195"/>
      <c r="L48" s="27">
        <f t="shared" si="4"/>
        <v>438.38413301370076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2443534</v>
      </c>
      <c r="E49" s="1">
        <v>2456262</v>
      </c>
      <c r="F49" s="41">
        <f t="shared" si="8"/>
        <v>12.728</v>
      </c>
      <c r="G49" s="22">
        <f t="shared" si="1"/>
        <v>50.026283218136577</v>
      </c>
      <c r="H49" s="45">
        <f t="shared" si="2"/>
        <v>10.691877774552303</v>
      </c>
      <c r="I49" s="42">
        <f t="shared" si="3"/>
        <v>60.71816099268888</v>
      </c>
      <c r="J49" s="30">
        <f t="shared" si="5"/>
        <v>310</v>
      </c>
      <c r="K49" s="195"/>
      <c r="L49" s="27">
        <f t="shared" si="4"/>
        <v>370.71816099268887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2360757</v>
      </c>
      <c r="E50" s="1">
        <v>2372768</v>
      </c>
      <c r="F50" s="41">
        <f t="shared" si="8"/>
        <v>12.011000000000001</v>
      </c>
      <c r="G50" s="22">
        <f t="shared" si="1"/>
        <v>47.208177854575617</v>
      </c>
      <c r="H50" s="45">
        <f t="shared" si="2"/>
        <v>10.691877774552303</v>
      </c>
      <c r="I50" s="42">
        <f t="shared" si="3"/>
        <v>57.90005562912792</v>
      </c>
      <c r="J50" s="30">
        <f t="shared" si="5"/>
        <v>310</v>
      </c>
      <c r="K50" s="195"/>
      <c r="L50" s="27">
        <f t="shared" si="4"/>
        <v>367.90005562912791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2758009</v>
      </c>
      <c r="E51" s="1">
        <v>2766850</v>
      </c>
      <c r="F51" s="41">
        <f t="shared" si="8"/>
        <v>8.8409999999999993</v>
      </c>
      <c r="G51" s="22">
        <f t="shared" si="1"/>
        <v>34.748771993364663</v>
      </c>
      <c r="H51" s="45">
        <f t="shared" si="2"/>
        <v>10.691877774552303</v>
      </c>
      <c r="I51" s="42">
        <f t="shared" si="3"/>
        <v>45.440649767916966</v>
      </c>
      <c r="J51" s="30">
        <f t="shared" si="5"/>
        <v>310</v>
      </c>
      <c r="K51" s="195"/>
      <c r="L51" s="27">
        <f t="shared" si="4"/>
        <v>355.44064976791697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4154629</v>
      </c>
      <c r="E52" s="1">
        <v>4171142</v>
      </c>
      <c r="F52" s="41">
        <f t="shared" si="8"/>
        <v>16.513000000000002</v>
      </c>
      <c r="G52" s="22">
        <f t="shared" si="1"/>
        <v>64.902892424661331</v>
      </c>
      <c r="H52" s="45">
        <f t="shared" si="2"/>
        <v>10.691877774552303</v>
      </c>
      <c r="I52" s="42">
        <f t="shared" si="3"/>
        <v>75.594770199213627</v>
      </c>
      <c r="J52" s="30">
        <f t="shared" si="5"/>
        <v>310</v>
      </c>
      <c r="K52" s="195">
        <v>10</v>
      </c>
      <c r="L52" s="27">
        <f t="shared" si="4"/>
        <v>395.5947701992136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3725247</v>
      </c>
      <c r="E53" s="1">
        <v>3733532</v>
      </c>
      <c r="F53" s="41">
        <f t="shared" si="8"/>
        <v>8.2850000000000001</v>
      </c>
      <c r="G53" s="22">
        <f t="shared" si="1"/>
        <v>32.563462952723249</v>
      </c>
      <c r="H53" s="45">
        <f t="shared" si="2"/>
        <v>10.691877774552303</v>
      </c>
      <c r="I53" s="42">
        <f t="shared" si="3"/>
        <v>43.255340727275552</v>
      </c>
      <c r="J53" s="30">
        <f t="shared" si="5"/>
        <v>310</v>
      </c>
      <c r="K53" s="195">
        <v>10</v>
      </c>
      <c r="L53" s="27">
        <f t="shared" si="4"/>
        <v>363.25534072727555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2970503</v>
      </c>
      <c r="E54" s="1">
        <v>2981100</v>
      </c>
      <c r="F54" s="41">
        <f t="shared" si="8"/>
        <v>10.597</v>
      </c>
      <c r="G54" s="22">
        <f t="shared" si="1"/>
        <v>41.650575366325683</v>
      </c>
      <c r="H54" s="45">
        <f t="shared" si="2"/>
        <v>10.691877774552303</v>
      </c>
      <c r="I54" s="42">
        <f t="shared" si="3"/>
        <v>52.342453140877986</v>
      </c>
      <c r="J54" s="30">
        <f t="shared" si="5"/>
        <v>310</v>
      </c>
      <c r="K54" s="195"/>
      <c r="L54" s="27">
        <f t="shared" si="4"/>
        <v>362.34245314087798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3069794</v>
      </c>
      <c r="E55" s="1">
        <v>3078267</v>
      </c>
      <c r="F55" s="41">
        <f t="shared" si="8"/>
        <v>8.4730000000000008</v>
      </c>
      <c r="G55" s="22">
        <f t="shared" si="1"/>
        <v>33.302380398119993</v>
      </c>
      <c r="H55" s="45">
        <f t="shared" si="2"/>
        <v>10.691877774552303</v>
      </c>
      <c r="I55" s="42">
        <f t="shared" si="3"/>
        <v>43.994258172672296</v>
      </c>
      <c r="J55" s="30">
        <f t="shared" si="5"/>
        <v>310</v>
      </c>
      <c r="K55" s="195"/>
      <c r="L55" s="27">
        <f t="shared" si="4"/>
        <v>353.99425817267229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1339921</v>
      </c>
      <c r="E56" s="1">
        <v>1345918</v>
      </c>
      <c r="F56" s="41">
        <f t="shared" si="8"/>
        <v>5.9969999999999999</v>
      </c>
      <c r="G56" s="22">
        <f t="shared" si="1"/>
        <v>23.570680425767208</v>
      </c>
      <c r="H56" s="45">
        <f t="shared" si="2"/>
        <v>10.691877774552303</v>
      </c>
      <c r="I56" s="42">
        <f t="shared" si="3"/>
        <v>34.262558200319511</v>
      </c>
      <c r="J56" s="30">
        <f t="shared" si="5"/>
        <v>310</v>
      </c>
      <c r="K56" s="195"/>
      <c r="L56" s="27">
        <f t="shared" si="4"/>
        <v>344.26255820031952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170982</v>
      </c>
      <c r="E57" s="1">
        <v>172868</v>
      </c>
      <c r="F57" s="41">
        <f>(E57-D57)*0.01</f>
        <v>18.86</v>
      </c>
      <c r="G57" s="22">
        <f t="shared" si="1"/>
        <v>74.127569256289732</v>
      </c>
      <c r="H57" s="45">
        <f t="shared" si="2"/>
        <v>10.691877774552303</v>
      </c>
      <c r="I57" s="42">
        <f t="shared" si="3"/>
        <v>84.819447030842042</v>
      </c>
      <c r="J57" s="30">
        <f t="shared" si="5"/>
        <v>310</v>
      </c>
      <c r="K57" s="195"/>
      <c r="L57" s="27">
        <f t="shared" si="4"/>
        <v>394.81944703084207</v>
      </c>
    </row>
    <row r="58" spans="1:12" ht="15" customHeight="1" x14ac:dyDescent="0.45">
      <c r="A58" s="318"/>
      <c r="B58" s="5" t="s">
        <v>5</v>
      </c>
      <c r="C58" s="2">
        <v>404</v>
      </c>
      <c r="D58" s="1">
        <v>2016958</v>
      </c>
      <c r="E58" s="1">
        <v>2028995</v>
      </c>
      <c r="F58" s="41">
        <f t="shared" ref="F58:F87" si="9">(E58-D58)*$N$1</f>
        <v>12.037000000000001</v>
      </c>
      <c r="G58" s="22">
        <f t="shared" si="1"/>
        <v>47.310368565109208</v>
      </c>
      <c r="H58" s="45">
        <f t="shared" si="2"/>
        <v>10.691877774552303</v>
      </c>
      <c r="I58" s="42">
        <f t="shared" si="3"/>
        <v>58.002246339661511</v>
      </c>
      <c r="J58" s="30">
        <f t="shared" si="5"/>
        <v>310</v>
      </c>
      <c r="K58" s="195"/>
      <c r="L58" s="27">
        <f t="shared" si="4"/>
        <v>368.0022463396615</v>
      </c>
    </row>
    <row r="59" spans="1:12" ht="15" customHeight="1" x14ac:dyDescent="0.45">
      <c r="A59" s="318"/>
      <c r="B59" s="5" t="s">
        <v>5</v>
      </c>
      <c r="C59" s="2">
        <v>501</v>
      </c>
      <c r="D59" s="1">
        <v>3159392</v>
      </c>
      <c r="E59" s="1">
        <v>3193081</v>
      </c>
      <c r="F59" s="41">
        <f t="shared" si="9"/>
        <v>33.689</v>
      </c>
      <c r="G59" s="22">
        <f t="shared" si="1"/>
        <v>132.41164796792921</v>
      </c>
      <c r="H59" s="45">
        <f t="shared" si="2"/>
        <v>10.691877774552303</v>
      </c>
      <c r="I59" s="42">
        <f t="shared" si="3"/>
        <v>143.10352574248151</v>
      </c>
      <c r="J59" s="30">
        <f t="shared" si="5"/>
        <v>310</v>
      </c>
      <c r="K59" s="195"/>
      <c r="L59" s="27">
        <f t="shared" si="4"/>
        <v>453.10352574248151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3538064</v>
      </c>
      <c r="E60" s="1">
        <v>3553176</v>
      </c>
      <c r="F60" s="41">
        <f t="shared" si="9"/>
        <v>15.112</v>
      </c>
      <c r="G60" s="22">
        <f t="shared" si="1"/>
        <v>59.396385291678186</v>
      </c>
      <c r="H60" s="45">
        <f t="shared" si="2"/>
        <v>10.691877774552303</v>
      </c>
      <c r="I60" s="42">
        <f t="shared" si="3"/>
        <v>70.088263066230496</v>
      </c>
      <c r="J60" s="30">
        <f t="shared" si="5"/>
        <v>310</v>
      </c>
      <c r="K60" s="195"/>
      <c r="L60" s="27">
        <f t="shared" si="4"/>
        <v>380.08826306623052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4590046</v>
      </c>
      <c r="E61" s="1">
        <v>4624108</v>
      </c>
      <c r="F61" s="41">
        <f t="shared" si="9"/>
        <v>34.061999999999998</v>
      </c>
      <c r="G61" s="22">
        <f t="shared" si="1"/>
        <v>133.87769162289189</v>
      </c>
      <c r="H61" s="45">
        <f t="shared" si="2"/>
        <v>10.691877774552303</v>
      </c>
      <c r="I61" s="42">
        <f t="shared" si="3"/>
        <v>144.56956939744418</v>
      </c>
      <c r="J61" s="30">
        <f t="shared" si="5"/>
        <v>310</v>
      </c>
      <c r="K61" s="195"/>
      <c r="L61" s="27">
        <f t="shared" si="4"/>
        <v>454.56956939744418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2210920</v>
      </c>
      <c r="E62" s="1">
        <v>2227411</v>
      </c>
      <c r="F62" s="41">
        <f t="shared" si="9"/>
        <v>16.491</v>
      </c>
      <c r="G62" s="22">
        <f t="shared" si="1"/>
        <v>64.816423361902125</v>
      </c>
      <c r="H62" s="45">
        <f t="shared" si="2"/>
        <v>10.691877774552303</v>
      </c>
      <c r="I62" s="42">
        <f t="shared" si="3"/>
        <v>75.508301136454435</v>
      </c>
      <c r="J62" s="30">
        <f t="shared" si="5"/>
        <v>310</v>
      </c>
      <c r="K62" s="195"/>
      <c r="L62" s="27">
        <f t="shared" si="4"/>
        <v>385.50830113645441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4952771</v>
      </c>
      <c r="E63" s="1">
        <v>4970278</v>
      </c>
      <c r="F63" s="41">
        <f t="shared" si="9"/>
        <v>17.507000000000001</v>
      </c>
      <c r="G63" s="22">
        <f t="shared" si="1"/>
        <v>68.809721896599399</v>
      </c>
      <c r="H63" s="45">
        <f t="shared" si="2"/>
        <v>10.691877774552303</v>
      </c>
      <c r="I63" s="42">
        <f t="shared" si="3"/>
        <v>79.501599671151695</v>
      </c>
      <c r="J63" s="30">
        <f t="shared" si="5"/>
        <v>310</v>
      </c>
      <c r="K63" s="195"/>
      <c r="L63" s="27">
        <f t="shared" si="4"/>
        <v>389.50159967115167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4700880</v>
      </c>
      <c r="E64" s="1">
        <v>4716099</v>
      </c>
      <c r="F64" s="41">
        <f t="shared" si="9"/>
        <v>15.219000000000001</v>
      </c>
      <c r="G64" s="22">
        <f>MMULT($G$1,1/$F$183)*F64</f>
        <v>59.81693936964335</v>
      </c>
      <c r="H64" s="45">
        <f t="shared" si="2"/>
        <v>10.691877774552303</v>
      </c>
      <c r="I64" s="42">
        <f t="shared" si="3"/>
        <v>70.50881714419566</v>
      </c>
      <c r="J64" s="30">
        <f t="shared" si="5"/>
        <v>310</v>
      </c>
      <c r="K64" s="195"/>
      <c r="L64" s="27">
        <f t="shared" si="4"/>
        <v>380.50881714419563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3459780</v>
      </c>
      <c r="E65" s="1">
        <v>3476219</v>
      </c>
      <c r="F65" s="41">
        <f t="shared" si="9"/>
        <v>16.439</v>
      </c>
      <c r="G65" s="22">
        <f t="shared" si="1"/>
        <v>64.612041940834942</v>
      </c>
      <c r="H65" s="45">
        <f t="shared" si="2"/>
        <v>10.691877774552303</v>
      </c>
      <c r="I65" s="42">
        <f t="shared" si="3"/>
        <v>75.303919715387252</v>
      </c>
      <c r="J65" s="30">
        <f t="shared" si="5"/>
        <v>310</v>
      </c>
      <c r="K65" s="195"/>
      <c r="L65" s="27">
        <f>SUM(I65,J65,K65)</f>
        <v>385.30391971538722</v>
      </c>
    </row>
    <row r="66" spans="1:12" ht="15" customHeight="1" x14ac:dyDescent="0.45">
      <c r="A66" s="314"/>
      <c r="B66" s="5" t="s">
        <v>6</v>
      </c>
      <c r="C66" s="2">
        <v>104</v>
      </c>
      <c r="D66" s="1">
        <v>228390</v>
      </c>
      <c r="E66" s="1">
        <v>253874</v>
      </c>
      <c r="F66" s="41">
        <f t="shared" si="9"/>
        <v>25.484000000000002</v>
      </c>
      <c r="G66" s="22">
        <f t="shared" si="1"/>
        <v>100.16261797069394</v>
      </c>
      <c r="H66" s="45">
        <f t="shared" si="2"/>
        <v>10.691877774552303</v>
      </c>
      <c r="I66" s="42">
        <f t="shared" si="3"/>
        <v>110.85449574524625</v>
      </c>
      <c r="J66" s="30">
        <f t="shared" si="5"/>
        <v>310</v>
      </c>
      <c r="K66" s="195"/>
      <c r="L66" s="27">
        <f t="shared" si="4"/>
        <v>420.85449574524625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4113907</v>
      </c>
      <c r="E67" s="1">
        <v>4125539</v>
      </c>
      <c r="F67" s="41">
        <f t="shared" si="9"/>
        <v>11.632</v>
      </c>
      <c r="G67" s="22">
        <f t="shared" si="1"/>
        <v>45.718551727951336</v>
      </c>
      <c r="H67" s="45">
        <f t="shared" si="2"/>
        <v>10.691877774552303</v>
      </c>
      <c r="I67" s="42">
        <f t="shared" si="3"/>
        <v>56.410429502503639</v>
      </c>
      <c r="J67" s="30">
        <f t="shared" si="5"/>
        <v>310</v>
      </c>
      <c r="K67" s="195"/>
      <c r="L67" s="27">
        <f t="shared" si="4"/>
        <v>366.41042950250363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4417040</v>
      </c>
      <c r="E68" s="1">
        <v>4453379</v>
      </c>
      <c r="F68" s="41">
        <f t="shared" si="9"/>
        <v>36.338999999999999</v>
      </c>
      <c r="G68" s="22">
        <f t="shared" ref="G68:G131" si="10">MMULT($G$1,1/$F$183)*F68</f>
        <v>142.82723961846833</v>
      </c>
      <c r="H68" s="45">
        <f t="shared" ref="H68:H131" si="11">MMULT($H$1,1/180)</f>
        <v>10.691877774552303</v>
      </c>
      <c r="I68" s="42">
        <f t="shared" ref="I68:I131" si="12">SUM(G68,H68)</f>
        <v>153.51911739302062</v>
      </c>
      <c r="J68" s="30">
        <f t="shared" si="5"/>
        <v>310</v>
      </c>
      <c r="K68" s="195"/>
      <c r="L68" s="27">
        <f t="shared" ref="L68:L131" si="13">SUM(I68,J68,K68)</f>
        <v>463.51911739302062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2504254</v>
      </c>
      <c r="E69" s="1">
        <v>2506507</v>
      </c>
      <c r="F69" s="41">
        <f t="shared" si="9"/>
        <v>2.2530000000000001</v>
      </c>
      <c r="G69" s="22">
        <f t="shared" si="10"/>
        <v>8.8552181089300532</v>
      </c>
      <c r="H69" s="45">
        <f t="shared" si="11"/>
        <v>10.691877774552303</v>
      </c>
      <c r="I69" s="42">
        <f t="shared" si="12"/>
        <v>19.547095883482356</v>
      </c>
      <c r="J69" s="30">
        <f t="shared" ref="J69:J132" si="14">SUM($J$3)</f>
        <v>310</v>
      </c>
      <c r="K69" s="195"/>
      <c r="L69" s="27">
        <f t="shared" si="13"/>
        <v>329.54709588348237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2495188</v>
      </c>
      <c r="E70" s="1">
        <v>2508141</v>
      </c>
      <c r="F70" s="41">
        <f t="shared" si="9"/>
        <v>12.952999999999999</v>
      </c>
      <c r="G70" s="22">
        <f t="shared" si="10"/>
        <v>50.910625905446501</v>
      </c>
      <c r="H70" s="45">
        <f t="shared" si="11"/>
        <v>10.691877774552303</v>
      </c>
      <c r="I70" s="42">
        <f t="shared" si="12"/>
        <v>61.602503679998804</v>
      </c>
      <c r="J70" s="30">
        <f t="shared" si="14"/>
        <v>310</v>
      </c>
      <c r="K70" s="195"/>
      <c r="L70" s="27">
        <f t="shared" si="13"/>
        <v>371.60250367999879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3960580</v>
      </c>
      <c r="E71" s="1">
        <v>3973730</v>
      </c>
      <c r="F71" s="41">
        <f t="shared" si="9"/>
        <v>13.15</v>
      </c>
      <c r="G71" s="22">
        <f t="shared" si="10"/>
        <v>51.684917058335635</v>
      </c>
      <c r="H71" s="45">
        <f t="shared" si="11"/>
        <v>10.691877774552303</v>
      </c>
      <c r="I71" s="42">
        <f t="shared" si="12"/>
        <v>62.376794832887938</v>
      </c>
      <c r="J71" s="30">
        <f t="shared" si="14"/>
        <v>310</v>
      </c>
      <c r="K71" s="195"/>
      <c r="L71" s="27">
        <f t="shared" si="13"/>
        <v>372.37679483288792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3200612</v>
      </c>
      <c r="E72" s="1">
        <v>3220445</v>
      </c>
      <c r="F72" s="41">
        <f t="shared" si="9"/>
        <v>19.833000000000002</v>
      </c>
      <c r="G72" s="22">
        <f t="shared" si="10"/>
        <v>77.951860077412221</v>
      </c>
      <c r="H72" s="45">
        <f t="shared" si="11"/>
        <v>10.691877774552303</v>
      </c>
      <c r="I72" s="42">
        <f t="shared" si="12"/>
        <v>88.643737851964516</v>
      </c>
      <c r="J72" s="30">
        <f t="shared" si="14"/>
        <v>310</v>
      </c>
      <c r="K72" s="195"/>
      <c r="L72" s="27">
        <f t="shared" si="13"/>
        <v>398.64373785196449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3530437</v>
      </c>
      <c r="E73" s="1">
        <v>3536079</v>
      </c>
      <c r="F73" s="41">
        <f t="shared" si="9"/>
        <v>5.6420000000000003</v>
      </c>
      <c r="G73" s="22">
        <f t="shared" si="10"/>
        <v>22.17538418578933</v>
      </c>
      <c r="H73" s="45">
        <f t="shared" si="11"/>
        <v>10.691877774552303</v>
      </c>
      <c r="I73" s="42">
        <f t="shared" si="12"/>
        <v>32.867261960341636</v>
      </c>
      <c r="J73" s="30">
        <f t="shared" si="14"/>
        <v>310</v>
      </c>
      <c r="K73" s="195"/>
      <c r="L73" s="27">
        <f t="shared" si="13"/>
        <v>342.86726196034164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1530378</v>
      </c>
      <c r="E74" s="1">
        <v>1539281</v>
      </c>
      <c r="F74" s="41">
        <f t="shared" si="9"/>
        <v>8.9030000000000005</v>
      </c>
      <c r="G74" s="22">
        <f t="shared" si="10"/>
        <v>34.992457533867849</v>
      </c>
      <c r="H74" s="45">
        <f t="shared" si="11"/>
        <v>10.691877774552303</v>
      </c>
      <c r="I74" s="42">
        <f t="shared" si="12"/>
        <v>45.684335308420152</v>
      </c>
      <c r="J74" s="30">
        <f t="shared" si="14"/>
        <v>310</v>
      </c>
      <c r="K74" s="195"/>
      <c r="L74" s="27">
        <f t="shared" si="13"/>
        <v>355.68433530842015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4838536</v>
      </c>
      <c r="E75" s="1">
        <v>4858024</v>
      </c>
      <c r="F75" s="41">
        <f t="shared" si="9"/>
        <v>19.488</v>
      </c>
      <c r="G75" s="22">
        <f t="shared" si="10"/>
        <v>76.595867956870336</v>
      </c>
      <c r="H75" s="45">
        <f t="shared" si="11"/>
        <v>10.691877774552303</v>
      </c>
      <c r="I75" s="42">
        <f t="shared" si="12"/>
        <v>87.287745731422632</v>
      </c>
      <c r="J75" s="30">
        <f t="shared" si="14"/>
        <v>310</v>
      </c>
      <c r="K75" s="195"/>
      <c r="L75" s="27">
        <f t="shared" si="13"/>
        <v>397.28774573142266</v>
      </c>
    </row>
    <row r="76" spans="1:12" ht="15" customHeight="1" x14ac:dyDescent="0.45">
      <c r="A76" s="314"/>
      <c r="B76" s="5" t="s">
        <v>6</v>
      </c>
      <c r="C76" s="2">
        <v>402</v>
      </c>
      <c r="D76" s="1">
        <v>3030051</v>
      </c>
      <c r="E76" s="1">
        <v>3054487</v>
      </c>
      <c r="F76" s="41">
        <f t="shared" si="9"/>
        <v>24.436</v>
      </c>
      <c r="G76" s="22">
        <f t="shared" si="10"/>
        <v>96.043546253801495</v>
      </c>
      <c r="H76" s="45">
        <f t="shared" si="11"/>
        <v>10.691877774552303</v>
      </c>
      <c r="I76" s="42">
        <f t="shared" si="12"/>
        <v>106.7354240283538</v>
      </c>
      <c r="J76" s="30">
        <f t="shared" si="14"/>
        <v>310</v>
      </c>
      <c r="K76" s="195">
        <v>10</v>
      </c>
      <c r="L76" s="27">
        <f t="shared" si="13"/>
        <v>426.7354240283538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2824494</v>
      </c>
      <c r="E77" s="1">
        <v>2846459</v>
      </c>
      <c r="F77" s="41">
        <f t="shared" si="9"/>
        <v>21.965</v>
      </c>
      <c r="G77" s="22">
        <f t="shared" si="10"/>
        <v>86.331498341166707</v>
      </c>
      <c r="H77" s="45">
        <f t="shared" si="11"/>
        <v>10.691877774552303</v>
      </c>
      <c r="I77" s="42">
        <f t="shared" si="12"/>
        <v>97.023376115719003</v>
      </c>
      <c r="J77" s="30">
        <f t="shared" si="14"/>
        <v>310</v>
      </c>
      <c r="K77" s="195"/>
      <c r="L77" s="27">
        <f t="shared" si="13"/>
        <v>407.02337611571897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2841608</v>
      </c>
      <c r="E78" s="1">
        <v>2855444</v>
      </c>
      <c r="F78" s="41">
        <f t="shared" si="9"/>
        <v>13.836</v>
      </c>
      <c r="G78" s="22">
        <f t="shared" si="10"/>
        <v>54.381179651645006</v>
      </c>
      <c r="H78" s="45">
        <f t="shared" si="11"/>
        <v>10.691877774552303</v>
      </c>
      <c r="I78" s="42">
        <f t="shared" si="12"/>
        <v>65.073057426197309</v>
      </c>
      <c r="J78" s="30">
        <f t="shared" si="14"/>
        <v>310</v>
      </c>
      <c r="K78" s="195"/>
      <c r="L78" s="27">
        <f t="shared" si="13"/>
        <v>375.07305742619729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4873961</v>
      </c>
      <c r="E79" s="1">
        <v>4916614</v>
      </c>
      <c r="F79" s="41">
        <f t="shared" si="9"/>
        <v>42.652999999999999</v>
      </c>
      <c r="G79" s="22">
        <f t="shared" si="10"/>
        <v>167.64386063035664</v>
      </c>
      <c r="H79" s="45">
        <f t="shared" si="11"/>
        <v>10.691877774552303</v>
      </c>
      <c r="I79" s="42">
        <f t="shared" si="12"/>
        <v>178.33573840490894</v>
      </c>
      <c r="J79" s="30">
        <f t="shared" si="14"/>
        <v>310</v>
      </c>
      <c r="K79" s="195"/>
      <c r="L79" s="27">
        <f t="shared" si="13"/>
        <v>488.33573840490897</v>
      </c>
    </row>
    <row r="80" spans="1:12" ht="15" customHeight="1" x14ac:dyDescent="0.45">
      <c r="A80" s="314"/>
      <c r="B80" s="5" t="s">
        <v>6</v>
      </c>
      <c r="C80" s="2">
        <v>502</v>
      </c>
      <c r="D80" s="1">
        <v>5030116</v>
      </c>
      <c r="E80" s="1">
        <v>5053095</v>
      </c>
      <c r="F80" s="41">
        <f t="shared" si="9"/>
        <v>22.978999999999999</v>
      </c>
      <c r="G80" s="22">
        <f t="shared" si="10"/>
        <v>90.316936051976768</v>
      </c>
      <c r="H80" s="45">
        <f t="shared" si="11"/>
        <v>10.691877774552303</v>
      </c>
      <c r="I80" s="42">
        <f t="shared" si="12"/>
        <v>101.00881382652906</v>
      </c>
      <c r="J80" s="30">
        <f t="shared" si="14"/>
        <v>310</v>
      </c>
      <c r="K80" s="195"/>
      <c r="L80" s="27">
        <f t="shared" si="13"/>
        <v>411.00881382652904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3235402</v>
      </c>
      <c r="E81" s="1">
        <v>3250678</v>
      </c>
      <c r="F81" s="41">
        <f t="shared" si="9"/>
        <v>15.276</v>
      </c>
      <c r="G81" s="22">
        <f t="shared" si="10"/>
        <v>60.040972850428531</v>
      </c>
      <c r="H81" s="45">
        <f t="shared" si="11"/>
        <v>10.691877774552303</v>
      </c>
      <c r="I81" s="42">
        <f t="shared" si="12"/>
        <v>70.732850624980841</v>
      </c>
      <c r="J81" s="30">
        <f t="shared" si="14"/>
        <v>310</v>
      </c>
      <c r="K81" s="195"/>
      <c r="L81" s="27">
        <f t="shared" si="13"/>
        <v>380.73285062498087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3621797</v>
      </c>
      <c r="E82" s="1">
        <v>3645109</v>
      </c>
      <c r="F82" s="41">
        <f t="shared" si="9"/>
        <v>23.312000000000001</v>
      </c>
      <c r="G82" s="22">
        <f t="shared" si="10"/>
        <v>91.625763229195471</v>
      </c>
      <c r="H82" s="45">
        <f t="shared" si="11"/>
        <v>10.691877774552303</v>
      </c>
      <c r="I82" s="42">
        <f t="shared" si="12"/>
        <v>102.31764100374778</v>
      </c>
      <c r="J82" s="30">
        <f t="shared" si="14"/>
        <v>310</v>
      </c>
      <c r="K82" s="195"/>
      <c r="L82" s="27">
        <f t="shared" si="13"/>
        <v>412.31764100374778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4971642</v>
      </c>
      <c r="E83" s="1">
        <v>5000864</v>
      </c>
      <c r="F83" s="41">
        <f t="shared" si="9"/>
        <v>29.222000000000001</v>
      </c>
      <c r="G83" s="22">
        <f t="shared" si="10"/>
        <v>114.85449781586951</v>
      </c>
      <c r="H83" s="45">
        <f t="shared" si="11"/>
        <v>10.691877774552303</v>
      </c>
      <c r="I83" s="42">
        <f t="shared" si="12"/>
        <v>125.5463755904218</v>
      </c>
      <c r="J83" s="30">
        <f t="shared" si="14"/>
        <v>310</v>
      </c>
      <c r="K83" s="195"/>
      <c r="L83" s="27">
        <f t="shared" si="13"/>
        <v>435.5463755904218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1949469</v>
      </c>
      <c r="E84" s="1">
        <v>1969144</v>
      </c>
      <c r="F84" s="41">
        <f t="shared" si="9"/>
        <v>19.675000000000001</v>
      </c>
      <c r="G84" s="22">
        <f t="shared" si="10"/>
        <v>77.330854990323473</v>
      </c>
      <c r="H84" s="45">
        <f t="shared" si="11"/>
        <v>10.691877774552303</v>
      </c>
      <c r="I84" s="42">
        <f t="shared" si="12"/>
        <v>88.022732764875769</v>
      </c>
      <c r="J84" s="30">
        <f t="shared" si="14"/>
        <v>310</v>
      </c>
      <c r="K84" s="195"/>
      <c r="L84" s="27">
        <f t="shared" si="13"/>
        <v>398.02273276487574</v>
      </c>
    </row>
    <row r="85" spans="1:12" ht="15" customHeight="1" x14ac:dyDescent="0.45">
      <c r="A85" s="318"/>
      <c r="B85" s="5" t="s">
        <v>7</v>
      </c>
      <c r="C85" s="2">
        <v>103</v>
      </c>
      <c r="D85" s="1">
        <v>3050364</v>
      </c>
      <c r="E85" s="1">
        <v>3054925</v>
      </c>
      <c r="F85" s="41">
        <f t="shared" si="9"/>
        <v>4.5609999999999999</v>
      </c>
      <c r="G85" s="22">
        <f t="shared" si="10"/>
        <v>17.926608874758085</v>
      </c>
      <c r="H85" s="45">
        <f t="shared" si="11"/>
        <v>10.691877774552303</v>
      </c>
      <c r="I85" s="42">
        <f t="shared" si="12"/>
        <v>28.618486649310388</v>
      </c>
      <c r="J85" s="30">
        <f t="shared" si="14"/>
        <v>310</v>
      </c>
      <c r="K85" s="195"/>
      <c r="L85" s="27">
        <f t="shared" si="13"/>
        <v>338.6184866493104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2708461</v>
      </c>
      <c r="E86" s="1">
        <v>2726128</v>
      </c>
      <c r="F86" s="41">
        <f t="shared" si="9"/>
        <v>17.667000000000002</v>
      </c>
      <c r="G86" s="22">
        <f t="shared" si="10"/>
        <v>69.438587807575345</v>
      </c>
      <c r="H86" s="45">
        <f t="shared" si="11"/>
        <v>10.691877774552303</v>
      </c>
      <c r="I86" s="42">
        <f t="shared" si="12"/>
        <v>80.130465582127641</v>
      </c>
      <c r="J86" s="30">
        <f t="shared" si="14"/>
        <v>310</v>
      </c>
      <c r="K86" s="195"/>
      <c r="L86" s="27">
        <f t="shared" si="13"/>
        <v>390.13046558212761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5357135</v>
      </c>
      <c r="E87" s="1">
        <v>5392554</v>
      </c>
      <c r="F87" s="41">
        <f t="shared" si="9"/>
        <v>35.419000000000004</v>
      </c>
      <c r="G87" s="22">
        <f t="shared" si="10"/>
        <v>139.21126063035666</v>
      </c>
      <c r="H87" s="45">
        <f t="shared" si="11"/>
        <v>10.691877774552303</v>
      </c>
      <c r="I87" s="42">
        <f t="shared" si="12"/>
        <v>149.90313840490896</v>
      </c>
      <c r="J87" s="30">
        <f t="shared" si="14"/>
        <v>310</v>
      </c>
      <c r="K87" s="195"/>
      <c r="L87" s="27">
        <f t="shared" si="13"/>
        <v>459.90313840490899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28628</v>
      </c>
      <c r="E88" s="1">
        <v>28628</v>
      </c>
      <c r="F88" s="41">
        <f>(E88-D88)*0.01</f>
        <v>0</v>
      </c>
      <c r="G88" s="22">
        <f t="shared" si="10"/>
        <v>0</v>
      </c>
      <c r="H88" s="45">
        <f t="shared" si="11"/>
        <v>10.691877774552303</v>
      </c>
      <c r="I88" s="42">
        <f t="shared" si="12"/>
        <v>10.691877774552303</v>
      </c>
      <c r="J88" s="30">
        <f t="shared" si="14"/>
        <v>310</v>
      </c>
      <c r="K88" s="195"/>
      <c r="L88" s="27">
        <f t="shared" si="13"/>
        <v>320.69187777455232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4668271</v>
      </c>
      <c r="E89" s="1">
        <v>4698475</v>
      </c>
      <c r="F89" s="41">
        <f>(E89-D89)*$N$1</f>
        <v>30.204000000000001</v>
      </c>
      <c r="G89" s="22">
        <f t="shared" si="10"/>
        <v>118.71416234448438</v>
      </c>
      <c r="H89" s="45">
        <f t="shared" si="11"/>
        <v>10.691877774552303</v>
      </c>
      <c r="I89" s="42">
        <f t="shared" si="12"/>
        <v>129.40604011903667</v>
      </c>
      <c r="J89" s="30">
        <f t="shared" si="14"/>
        <v>310</v>
      </c>
      <c r="K89" s="195"/>
      <c r="L89" s="27">
        <f t="shared" si="13"/>
        <v>439.40604011903667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133210</v>
      </c>
      <c r="E90" s="1">
        <v>133228</v>
      </c>
      <c r="F90" s="41">
        <f>(E90-D90)*0.01</f>
        <v>0.18</v>
      </c>
      <c r="G90" s="22">
        <f t="shared" si="10"/>
        <v>0.70747414984794021</v>
      </c>
      <c r="H90" s="45">
        <f t="shared" si="11"/>
        <v>10.691877774552303</v>
      </c>
      <c r="I90" s="42">
        <f t="shared" si="12"/>
        <v>11.399351924400243</v>
      </c>
      <c r="J90" s="30">
        <f t="shared" si="14"/>
        <v>310</v>
      </c>
      <c r="K90" s="195"/>
      <c r="L90" s="27">
        <f t="shared" si="13"/>
        <v>321.39935192440026</v>
      </c>
    </row>
    <row r="91" spans="1:12" ht="15" customHeight="1" x14ac:dyDescent="0.45">
      <c r="A91" s="318"/>
      <c r="B91" s="5" t="s">
        <v>7</v>
      </c>
      <c r="C91" s="2">
        <v>301</v>
      </c>
      <c r="D91" s="1">
        <v>5157556</v>
      </c>
      <c r="E91" s="1">
        <v>5189807</v>
      </c>
      <c r="F91" s="41">
        <f t="shared" ref="F91:F103" si="15">(E91-D91)*$N$1</f>
        <v>32.250999999999998</v>
      </c>
      <c r="G91" s="22">
        <f t="shared" si="10"/>
        <v>126.75971559303288</v>
      </c>
      <c r="H91" s="45">
        <f t="shared" si="11"/>
        <v>10.691877774552303</v>
      </c>
      <c r="I91" s="42">
        <f t="shared" si="12"/>
        <v>137.45159336758519</v>
      </c>
      <c r="J91" s="30">
        <f t="shared" si="14"/>
        <v>310</v>
      </c>
      <c r="K91" s="195"/>
      <c r="L91" s="27">
        <f t="shared" si="13"/>
        <v>447.45159336758519</v>
      </c>
    </row>
    <row r="92" spans="1:12" ht="15" customHeight="1" x14ac:dyDescent="0.45">
      <c r="A92" s="318"/>
      <c r="B92" s="5" t="s">
        <v>7</v>
      </c>
      <c r="C92" s="2">
        <v>302</v>
      </c>
      <c r="D92" s="1">
        <v>166543</v>
      </c>
      <c r="E92" s="1">
        <v>199445</v>
      </c>
      <c r="F92" s="41">
        <f t="shared" si="15"/>
        <v>32.902000000000001</v>
      </c>
      <c r="G92" s="22">
        <f t="shared" si="10"/>
        <v>129.31841376831628</v>
      </c>
      <c r="H92" s="45">
        <f t="shared" si="11"/>
        <v>10.691877774552303</v>
      </c>
      <c r="I92" s="42">
        <f t="shared" si="12"/>
        <v>140.01029154286857</v>
      </c>
      <c r="J92" s="30">
        <f t="shared" si="14"/>
        <v>310</v>
      </c>
      <c r="K92" s="195"/>
      <c r="L92" s="27">
        <f t="shared" si="13"/>
        <v>450.01029154286857</v>
      </c>
    </row>
    <row r="93" spans="1:12" ht="15" customHeight="1" x14ac:dyDescent="0.45">
      <c r="A93" s="318"/>
      <c r="B93" s="5" t="s">
        <v>7</v>
      </c>
      <c r="C93" s="2">
        <v>303</v>
      </c>
      <c r="D93" s="1">
        <v>5015853</v>
      </c>
      <c r="E93" s="1">
        <v>5049806</v>
      </c>
      <c r="F93" s="41">
        <f t="shared" si="15"/>
        <v>33.953000000000003</v>
      </c>
      <c r="G93" s="22">
        <f t="shared" si="10"/>
        <v>133.44927672103955</v>
      </c>
      <c r="H93" s="45">
        <f t="shared" si="11"/>
        <v>10.691877774552303</v>
      </c>
      <c r="I93" s="42">
        <f t="shared" si="12"/>
        <v>144.14115449559185</v>
      </c>
      <c r="J93" s="30">
        <f t="shared" si="14"/>
        <v>310</v>
      </c>
      <c r="K93" s="195">
        <v>10</v>
      </c>
      <c r="L93" s="27">
        <f t="shared" si="13"/>
        <v>464.14115449559188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2517319</v>
      </c>
      <c r="E94" s="1">
        <v>2529755</v>
      </c>
      <c r="F94" s="41">
        <f t="shared" si="15"/>
        <v>12.436</v>
      </c>
      <c r="G94" s="22">
        <f t="shared" si="10"/>
        <v>48.878602930605474</v>
      </c>
      <c r="H94" s="45">
        <f t="shared" si="11"/>
        <v>10.691877774552303</v>
      </c>
      <c r="I94" s="42">
        <f t="shared" si="12"/>
        <v>59.570480705157777</v>
      </c>
      <c r="J94" s="30">
        <f t="shared" si="14"/>
        <v>310</v>
      </c>
      <c r="K94" s="195"/>
      <c r="L94" s="27">
        <f t="shared" si="13"/>
        <v>369.57048070515776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3928852</v>
      </c>
      <c r="E95" s="1">
        <v>3950603</v>
      </c>
      <c r="F95" s="41">
        <f t="shared" si="15"/>
        <v>21.751000000000001</v>
      </c>
      <c r="G95" s="22">
        <f t="shared" si="10"/>
        <v>85.490390185236379</v>
      </c>
      <c r="H95" s="45">
        <f t="shared" si="11"/>
        <v>10.691877774552303</v>
      </c>
      <c r="I95" s="42">
        <f t="shared" si="12"/>
        <v>96.182267959788675</v>
      </c>
      <c r="J95" s="30">
        <f t="shared" si="14"/>
        <v>310</v>
      </c>
      <c r="K95" s="195"/>
      <c r="L95" s="27">
        <f t="shared" si="13"/>
        <v>406.18226795978865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3375130</v>
      </c>
      <c r="E96" s="1">
        <v>3403116</v>
      </c>
      <c r="F96" s="41">
        <f t="shared" si="15"/>
        <v>27.986000000000001</v>
      </c>
      <c r="G96" s="22">
        <f t="shared" si="10"/>
        <v>109.99650865358031</v>
      </c>
      <c r="H96" s="45">
        <f t="shared" si="11"/>
        <v>10.691877774552303</v>
      </c>
      <c r="I96" s="42">
        <f t="shared" si="12"/>
        <v>120.68838642813262</v>
      </c>
      <c r="J96" s="30">
        <f t="shared" si="14"/>
        <v>310</v>
      </c>
      <c r="K96" s="195"/>
      <c r="L96" s="27">
        <f t="shared" si="13"/>
        <v>430.68838642813262</v>
      </c>
    </row>
    <row r="97" spans="1:12" ht="15" customHeight="1" x14ac:dyDescent="0.45">
      <c r="A97" s="318"/>
      <c r="B97" s="5" t="s">
        <v>7</v>
      </c>
      <c r="C97" s="2">
        <v>403</v>
      </c>
      <c r="D97" s="1">
        <v>3065508</v>
      </c>
      <c r="E97" s="1">
        <v>3077157</v>
      </c>
      <c r="F97" s="41">
        <f t="shared" si="15"/>
        <v>11.649000000000001</v>
      </c>
      <c r="G97" s="22">
        <f t="shared" si="10"/>
        <v>45.785368730992538</v>
      </c>
      <c r="H97" s="45">
        <f t="shared" si="11"/>
        <v>10.691877774552303</v>
      </c>
      <c r="I97" s="42">
        <f t="shared" si="12"/>
        <v>56.477246505544841</v>
      </c>
      <c r="J97" s="30">
        <f t="shared" si="14"/>
        <v>310</v>
      </c>
      <c r="K97" s="195"/>
      <c r="L97" s="27">
        <f t="shared" si="13"/>
        <v>366.47724650554483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3274061</v>
      </c>
      <c r="E98" s="1">
        <v>3287967</v>
      </c>
      <c r="F98" s="41">
        <f t="shared" si="15"/>
        <v>13.906000000000001</v>
      </c>
      <c r="G98" s="22">
        <f t="shared" si="10"/>
        <v>54.65630848769699</v>
      </c>
      <c r="H98" s="45">
        <f t="shared" si="11"/>
        <v>10.691877774552303</v>
      </c>
      <c r="I98" s="42">
        <f t="shared" si="12"/>
        <v>65.3481862622493</v>
      </c>
      <c r="J98" s="30">
        <f t="shared" si="14"/>
        <v>310</v>
      </c>
      <c r="K98" s="195"/>
      <c r="L98" s="27">
        <f t="shared" si="13"/>
        <v>375.34818626224933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2854018</v>
      </c>
      <c r="E99" s="1">
        <v>2876482</v>
      </c>
      <c r="F99" s="41">
        <f>(E99-D99)*$N$1</f>
        <v>22.464000000000002</v>
      </c>
      <c r="G99" s="22">
        <f t="shared" si="10"/>
        <v>88.292773901022954</v>
      </c>
      <c r="H99" s="45">
        <f t="shared" si="11"/>
        <v>10.691877774552303</v>
      </c>
      <c r="I99" s="42">
        <f t="shared" si="12"/>
        <v>98.984651675575265</v>
      </c>
      <c r="J99" s="30">
        <f t="shared" si="14"/>
        <v>310</v>
      </c>
      <c r="K99" s="195"/>
      <c r="L99" s="27">
        <f t="shared" si="13"/>
        <v>408.98465167557526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2588834</v>
      </c>
      <c r="E100" s="1">
        <v>2596831</v>
      </c>
      <c r="F100" s="41">
        <f t="shared" si="15"/>
        <v>7.9969999999999999</v>
      </c>
      <c r="G100" s="22">
        <f t="shared" si="10"/>
        <v>31.431504312966545</v>
      </c>
      <c r="H100" s="45">
        <f t="shared" si="11"/>
        <v>10.691877774552303</v>
      </c>
      <c r="I100" s="42">
        <f t="shared" si="12"/>
        <v>42.123382087518848</v>
      </c>
      <c r="J100" s="30">
        <f t="shared" si="14"/>
        <v>310</v>
      </c>
      <c r="K100" s="195"/>
      <c r="L100" s="27">
        <f t="shared" si="13"/>
        <v>352.12338208751885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3238375</v>
      </c>
      <c r="E101" s="1">
        <v>3261950</v>
      </c>
      <c r="F101" s="41">
        <f t="shared" si="15"/>
        <v>23.574999999999999</v>
      </c>
      <c r="G101" s="22">
        <f t="shared" si="10"/>
        <v>92.659461570362168</v>
      </c>
      <c r="H101" s="45">
        <f t="shared" si="11"/>
        <v>10.691877774552303</v>
      </c>
      <c r="I101" s="42">
        <f t="shared" si="12"/>
        <v>103.35133934491446</v>
      </c>
      <c r="J101" s="30">
        <f t="shared" si="14"/>
        <v>310</v>
      </c>
      <c r="K101" s="195">
        <v>10</v>
      </c>
      <c r="L101" s="27">
        <f t="shared" si="13"/>
        <v>423.35133934491444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4224658</v>
      </c>
      <c r="E102" s="1">
        <v>4246261</v>
      </c>
      <c r="F102" s="41">
        <f t="shared" si="15"/>
        <v>21.603000000000002</v>
      </c>
      <c r="G102" s="22">
        <f t="shared" si="10"/>
        <v>84.908689217583628</v>
      </c>
      <c r="H102" s="45">
        <f t="shared" si="11"/>
        <v>10.691877774552303</v>
      </c>
      <c r="I102" s="42">
        <f t="shared" si="12"/>
        <v>95.600566992135924</v>
      </c>
      <c r="J102" s="30">
        <f t="shared" si="14"/>
        <v>310</v>
      </c>
      <c r="K102" s="195"/>
      <c r="L102" s="27">
        <f t="shared" si="13"/>
        <v>405.6005669921359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3945859</v>
      </c>
      <c r="E103" s="1">
        <v>3979996</v>
      </c>
      <c r="F103" s="41">
        <f t="shared" si="15"/>
        <v>34.137</v>
      </c>
      <c r="G103" s="22">
        <f t="shared" si="10"/>
        <v>134.17247251866186</v>
      </c>
      <c r="H103" s="45">
        <f t="shared" si="11"/>
        <v>10.691877774552303</v>
      </c>
      <c r="I103" s="42">
        <f t="shared" si="12"/>
        <v>144.86435029321416</v>
      </c>
      <c r="J103" s="30">
        <f t="shared" si="14"/>
        <v>310</v>
      </c>
      <c r="K103" s="195"/>
      <c r="L103" s="27">
        <f t="shared" si="13"/>
        <v>454.86435029321416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167754</v>
      </c>
      <c r="E104" s="1">
        <v>170740</v>
      </c>
      <c r="F104" s="41">
        <f>(E104-D104)*0.01</f>
        <v>29.86</v>
      </c>
      <c r="G104" s="22">
        <f t="shared" si="10"/>
        <v>117.36210063588608</v>
      </c>
      <c r="H104" s="45">
        <f t="shared" si="11"/>
        <v>10.691877774552303</v>
      </c>
      <c r="I104" s="42">
        <f t="shared" si="12"/>
        <v>128.05397841043839</v>
      </c>
      <c r="J104" s="30">
        <f t="shared" si="14"/>
        <v>310</v>
      </c>
      <c r="K104" s="195"/>
      <c r="L104" s="27">
        <f t="shared" si="13"/>
        <v>438.05397841043839</v>
      </c>
    </row>
    <row r="105" spans="1:12" ht="15" customHeight="1" x14ac:dyDescent="0.45">
      <c r="A105" s="314"/>
      <c r="B105" s="5" t="s">
        <v>8</v>
      </c>
      <c r="C105" s="2">
        <v>103</v>
      </c>
      <c r="D105" s="1">
        <v>166316</v>
      </c>
      <c r="E105" s="1">
        <v>188805</v>
      </c>
      <c r="F105" s="41">
        <f t="shared" ref="F105:F123" si="16">(E105-D105)*$N$1</f>
        <v>22.489000000000001</v>
      </c>
      <c r="G105" s="22">
        <f t="shared" si="10"/>
        <v>88.391034199612932</v>
      </c>
      <c r="H105" s="45">
        <f t="shared" si="11"/>
        <v>10.691877774552303</v>
      </c>
      <c r="I105" s="42">
        <f t="shared" si="12"/>
        <v>99.082911974165228</v>
      </c>
      <c r="J105" s="30">
        <f t="shared" si="14"/>
        <v>310</v>
      </c>
      <c r="K105" s="195">
        <v>10</v>
      </c>
      <c r="L105" s="27">
        <f t="shared" si="13"/>
        <v>419.0829119741652</v>
      </c>
    </row>
    <row r="106" spans="1:12" ht="15" customHeight="1" x14ac:dyDescent="0.45">
      <c r="A106" s="314"/>
      <c r="B106" s="237" t="s">
        <v>8</v>
      </c>
      <c r="C106" s="2">
        <v>104</v>
      </c>
      <c r="D106" s="1">
        <v>0</v>
      </c>
      <c r="E106" s="1">
        <v>1673</v>
      </c>
      <c r="F106" s="41">
        <f>(E106-D106)*0.01</f>
        <v>16.73</v>
      </c>
      <c r="G106" s="22">
        <f t="shared" si="10"/>
        <v>65.755791816422445</v>
      </c>
      <c r="H106" s="45">
        <f t="shared" si="11"/>
        <v>10.691877774552303</v>
      </c>
      <c r="I106" s="42">
        <f t="shared" si="12"/>
        <v>76.447669590974755</v>
      </c>
      <c r="J106" s="30">
        <f t="shared" si="14"/>
        <v>310</v>
      </c>
      <c r="K106" s="195"/>
      <c r="L106" s="27">
        <f t="shared" si="13"/>
        <v>386.44766959097478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11777</v>
      </c>
      <c r="E107" s="1">
        <v>11977</v>
      </c>
      <c r="F107" s="41">
        <f>(E107-D107)*0.01</f>
        <v>2</v>
      </c>
      <c r="G107" s="22">
        <f t="shared" si="10"/>
        <v>7.8608238871993361</v>
      </c>
      <c r="H107" s="45">
        <f t="shared" si="11"/>
        <v>10.691877774552303</v>
      </c>
      <c r="I107" s="42">
        <f t="shared" si="12"/>
        <v>18.552701661751641</v>
      </c>
      <c r="J107" s="30">
        <f t="shared" si="14"/>
        <v>310</v>
      </c>
      <c r="K107" s="195"/>
      <c r="L107" s="27">
        <f t="shared" si="13"/>
        <v>328.55270166175166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230118</v>
      </c>
      <c r="E108" s="1">
        <v>249768</v>
      </c>
      <c r="F108" s="41">
        <f t="shared" si="16"/>
        <v>19.650000000000002</v>
      </c>
      <c r="G108" s="22">
        <f t="shared" si="10"/>
        <v>77.232594691733482</v>
      </c>
      <c r="H108" s="45">
        <f t="shared" si="11"/>
        <v>10.691877774552303</v>
      </c>
      <c r="I108" s="42">
        <f t="shared" si="12"/>
        <v>87.924472466285778</v>
      </c>
      <c r="J108" s="30">
        <f t="shared" si="14"/>
        <v>310</v>
      </c>
      <c r="K108" s="195"/>
      <c r="L108" s="27">
        <f t="shared" si="13"/>
        <v>397.92447246628581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3634400</v>
      </c>
      <c r="E109" s="1">
        <v>3640794</v>
      </c>
      <c r="F109" s="41">
        <f t="shared" si="16"/>
        <v>6.3940000000000001</v>
      </c>
      <c r="G109" s="22">
        <f t="shared" si="10"/>
        <v>25.131053967376278</v>
      </c>
      <c r="H109" s="45">
        <f t="shared" si="11"/>
        <v>10.691877774552303</v>
      </c>
      <c r="I109" s="42">
        <f t="shared" si="12"/>
        <v>35.822931741928585</v>
      </c>
      <c r="J109" s="30">
        <f t="shared" si="14"/>
        <v>310</v>
      </c>
      <c r="K109" s="195"/>
      <c r="L109" s="27">
        <f t="shared" si="13"/>
        <v>345.82293174192858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2008734</v>
      </c>
      <c r="E110" s="1">
        <v>2028328</v>
      </c>
      <c r="F110" s="41">
        <f t="shared" si="16"/>
        <v>19.594000000000001</v>
      </c>
      <c r="G110" s="22">
        <f t="shared" si="10"/>
        <v>77.012491622891901</v>
      </c>
      <c r="H110" s="45">
        <f t="shared" si="11"/>
        <v>10.691877774552303</v>
      </c>
      <c r="I110" s="42">
        <f t="shared" si="12"/>
        <v>87.704369397444196</v>
      </c>
      <c r="J110" s="30">
        <f t="shared" si="14"/>
        <v>310</v>
      </c>
      <c r="K110" s="195"/>
      <c r="L110" s="27">
        <f t="shared" si="13"/>
        <v>397.70436939744422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3706129</v>
      </c>
      <c r="E111" s="1">
        <v>3717684</v>
      </c>
      <c r="F111" s="41">
        <f t="shared" si="16"/>
        <v>11.555</v>
      </c>
      <c r="G111" s="22">
        <f t="shared" si="10"/>
        <v>45.415910008294162</v>
      </c>
      <c r="H111" s="45">
        <f t="shared" si="11"/>
        <v>10.691877774552303</v>
      </c>
      <c r="I111" s="42">
        <f t="shared" si="12"/>
        <v>56.107787782846465</v>
      </c>
      <c r="J111" s="30">
        <f t="shared" si="14"/>
        <v>310</v>
      </c>
      <c r="K111" s="195"/>
      <c r="L111" s="27">
        <f t="shared" si="13"/>
        <v>366.10778778284646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3379228</v>
      </c>
      <c r="E112" s="1">
        <v>3389391</v>
      </c>
      <c r="F112" s="41">
        <f t="shared" si="16"/>
        <v>10.163</v>
      </c>
      <c r="G112" s="22">
        <f t="shared" si="10"/>
        <v>39.944776582803428</v>
      </c>
      <c r="H112" s="45">
        <f t="shared" si="11"/>
        <v>10.691877774552303</v>
      </c>
      <c r="I112" s="42">
        <f t="shared" si="12"/>
        <v>50.636654357355731</v>
      </c>
      <c r="J112" s="30">
        <f t="shared" si="14"/>
        <v>310</v>
      </c>
      <c r="K112" s="195"/>
      <c r="L112" s="27">
        <f t="shared" si="13"/>
        <v>360.63665435735572</v>
      </c>
    </row>
    <row r="113" spans="1:12" ht="15" customHeight="1" x14ac:dyDescent="0.45">
      <c r="A113" s="314"/>
      <c r="B113" s="237" t="s">
        <v>8</v>
      </c>
      <c r="C113" s="2">
        <v>303</v>
      </c>
      <c r="D113" s="1">
        <v>6289</v>
      </c>
      <c r="E113" s="1">
        <v>41274</v>
      </c>
      <c r="F113" s="41">
        <f t="shared" si="16"/>
        <v>34.984999999999999</v>
      </c>
      <c r="G113" s="22">
        <f t="shared" si="10"/>
        <v>137.50546184683438</v>
      </c>
      <c r="H113" s="45">
        <f t="shared" si="11"/>
        <v>10.691877774552303</v>
      </c>
      <c r="I113" s="42">
        <f t="shared" si="12"/>
        <v>148.19733962138667</v>
      </c>
      <c r="J113" s="30">
        <f t="shared" si="14"/>
        <v>310</v>
      </c>
      <c r="K113" s="195"/>
      <c r="L113" s="27">
        <f t="shared" si="13"/>
        <v>458.19733962138667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107075</v>
      </c>
      <c r="E114" s="1">
        <v>118135</v>
      </c>
      <c r="F114" s="41">
        <f t="shared" si="16"/>
        <v>11.06</v>
      </c>
      <c r="G114" s="22">
        <f t="shared" si="10"/>
        <v>43.470356096212328</v>
      </c>
      <c r="H114" s="45">
        <f t="shared" si="11"/>
        <v>10.691877774552303</v>
      </c>
      <c r="I114" s="42">
        <f t="shared" si="12"/>
        <v>54.162233870764631</v>
      </c>
      <c r="J114" s="30">
        <f t="shared" si="14"/>
        <v>310</v>
      </c>
      <c r="K114" s="195"/>
      <c r="L114" s="27">
        <f t="shared" si="13"/>
        <v>364.16223387076462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2848784</v>
      </c>
      <c r="E115" s="1">
        <v>2863800</v>
      </c>
      <c r="F115" s="41">
        <f t="shared" si="16"/>
        <v>15.016</v>
      </c>
      <c r="G115" s="22">
        <f t="shared" si="10"/>
        <v>59.019065745092618</v>
      </c>
      <c r="H115" s="45">
        <f t="shared" si="11"/>
        <v>10.691877774552303</v>
      </c>
      <c r="I115" s="42">
        <f t="shared" si="12"/>
        <v>69.710943519644928</v>
      </c>
      <c r="J115" s="30">
        <f t="shared" si="14"/>
        <v>310</v>
      </c>
      <c r="K115" s="195"/>
      <c r="L115" s="27">
        <f t="shared" si="13"/>
        <v>379.71094351964496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7869</v>
      </c>
      <c r="E116" s="1">
        <v>8305</v>
      </c>
      <c r="F116" s="41">
        <f>(E116-D116)*0.01</f>
        <v>4.3600000000000003</v>
      </c>
      <c r="G116" s="22">
        <f t="shared" si="10"/>
        <v>17.136596074094555</v>
      </c>
      <c r="H116" s="45">
        <f t="shared" si="11"/>
        <v>10.691877774552303</v>
      </c>
      <c r="I116" s="42">
        <f t="shared" si="12"/>
        <v>27.828473848646858</v>
      </c>
      <c r="J116" s="30">
        <f t="shared" si="14"/>
        <v>310</v>
      </c>
      <c r="K116" s="195"/>
      <c r="L116" s="27">
        <f t="shared" si="13"/>
        <v>337.82847384864687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536391</v>
      </c>
      <c r="E117" s="1">
        <v>536925</v>
      </c>
      <c r="F117" s="41">
        <f>(E117-D117)*0.01</f>
        <v>5.34</v>
      </c>
      <c r="G117" s="22">
        <f t="shared" si="10"/>
        <v>20.988399778822227</v>
      </c>
      <c r="H117" s="45">
        <f t="shared" si="11"/>
        <v>10.691877774552303</v>
      </c>
      <c r="I117" s="42">
        <f t="shared" si="12"/>
        <v>31.68027755337453</v>
      </c>
      <c r="J117" s="30">
        <f t="shared" si="14"/>
        <v>310</v>
      </c>
      <c r="K117" s="195"/>
      <c r="L117" s="27">
        <f t="shared" si="13"/>
        <v>341.68027755337454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2800593</v>
      </c>
      <c r="E118" s="1">
        <v>2820487</v>
      </c>
      <c r="F118" s="41">
        <f t="shared" si="16"/>
        <v>19.894000000000002</v>
      </c>
      <c r="G118" s="22">
        <f t="shared" si="10"/>
        <v>78.1916152059718</v>
      </c>
      <c r="H118" s="45">
        <f t="shared" si="11"/>
        <v>10.691877774552303</v>
      </c>
      <c r="I118" s="42">
        <f t="shared" si="12"/>
        <v>88.883492980524096</v>
      </c>
      <c r="J118" s="30">
        <f t="shared" si="14"/>
        <v>310</v>
      </c>
      <c r="K118" s="195"/>
      <c r="L118" s="27">
        <f t="shared" si="13"/>
        <v>398.88349298052412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2874981</v>
      </c>
      <c r="E119" s="1">
        <v>2899585</v>
      </c>
      <c r="F119" s="41">
        <f t="shared" si="16"/>
        <v>24.603999999999999</v>
      </c>
      <c r="G119" s="22">
        <f t="shared" si="10"/>
        <v>96.703855460326224</v>
      </c>
      <c r="H119" s="45">
        <f t="shared" si="11"/>
        <v>10.691877774552303</v>
      </c>
      <c r="I119" s="42">
        <f t="shared" si="12"/>
        <v>107.39573323487852</v>
      </c>
      <c r="J119" s="30">
        <f t="shared" si="14"/>
        <v>310</v>
      </c>
      <c r="K119" s="195"/>
      <c r="L119" s="27">
        <f t="shared" si="13"/>
        <v>417.39573323487855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6047324</v>
      </c>
      <c r="E120" s="1">
        <v>6085726</v>
      </c>
      <c r="F120" s="41">
        <f t="shared" si="16"/>
        <v>38.402000000000001</v>
      </c>
      <c r="G120" s="22">
        <f t="shared" si="10"/>
        <v>150.93567945811446</v>
      </c>
      <c r="H120" s="45">
        <f t="shared" si="11"/>
        <v>10.691877774552303</v>
      </c>
      <c r="I120" s="42">
        <f t="shared" si="12"/>
        <v>161.62755723266676</v>
      </c>
      <c r="J120" s="30">
        <f t="shared" si="14"/>
        <v>310</v>
      </c>
      <c r="K120" s="195"/>
      <c r="L120" s="27">
        <f t="shared" si="13"/>
        <v>471.62755723266673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133874</v>
      </c>
      <c r="E121" s="1">
        <v>147180</v>
      </c>
      <c r="F121" s="41">
        <f t="shared" si="16"/>
        <v>13.306000000000001</v>
      </c>
      <c r="G121" s="22">
        <f t="shared" si="10"/>
        <v>52.29806132153719</v>
      </c>
      <c r="H121" s="45">
        <f t="shared" si="11"/>
        <v>10.691877774552303</v>
      </c>
      <c r="I121" s="42">
        <f t="shared" si="12"/>
        <v>62.989939096089493</v>
      </c>
      <c r="J121" s="30">
        <f t="shared" si="14"/>
        <v>310</v>
      </c>
      <c r="K121" s="195"/>
      <c r="L121" s="27">
        <f t="shared" si="13"/>
        <v>372.98993909608947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4445631</v>
      </c>
      <c r="E122" s="1">
        <v>4476762</v>
      </c>
      <c r="F122" s="41">
        <f t="shared" si="16"/>
        <v>31.131</v>
      </c>
      <c r="G122" s="22">
        <f t="shared" si="10"/>
        <v>122.35765421620127</v>
      </c>
      <c r="H122" s="45">
        <f t="shared" si="11"/>
        <v>10.691877774552303</v>
      </c>
      <c r="I122" s="42">
        <f t="shared" si="12"/>
        <v>133.04953199075356</v>
      </c>
      <c r="J122" s="30">
        <f t="shared" si="14"/>
        <v>310</v>
      </c>
      <c r="K122" s="195"/>
      <c r="L122" s="27">
        <f t="shared" si="13"/>
        <v>443.04953199075356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101866</v>
      </c>
      <c r="E123" s="1">
        <v>124897</v>
      </c>
      <c r="F123" s="41">
        <f t="shared" si="16"/>
        <v>23.030999999999999</v>
      </c>
      <c r="G123" s="22">
        <f t="shared" si="10"/>
        <v>90.52131747304395</v>
      </c>
      <c r="H123" s="45">
        <f t="shared" si="11"/>
        <v>10.691877774552303</v>
      </c>
      <c r="I123" s="42">
        <f t="shared" si="12"/>
        <v>101.21319524759625</v>
      </c>
      <c r="J123" s="30">
        <f t="shared" si="14"/>
        <v>310</v>
      </c>
      <c r="K123" s="195"/>
      <c r="L123" s="27">
        <f t="shared" si="13"/>
        <v>411.21319524759622</v>
      </c>
    </row>
    <row r="124" spans="1:12" ht="15" customHeight="1" x14ac:dyDescent="0.45">
      <c r="A124" s="318"/>
      <c r="B124" s="159" t="s">
        <v>9</v>
      </c>
      <c r="C124" s="2">
        <v>102</v>
      </c>
      <c r="D124" s="1">
        <v>24278</v>
      </c>
      <c r="E124" s="1">
        <v>24466</v>
      </c>
      <c r="F124" s="41">
        <f>(E124-D124)*0.01</f>
        <v>1.8800000000000001</v>
      </c>
      <c r="G124" s="22">
        <f>MMULT($G$1,1/$F$183)*F124</f>
        <v>7.3891744539673763</v>
      </c>
      <c r="H124" s="45">
        <f t="shared" si="11"/>
        <v>10.691877774552303</v>
      </c>
      <c r="I124" s="42">
        <f t="shared" si="12"/>
        <v>18.081052228519681</v>
      </c>
      <c r="J124" s="30">
        <f t="shared" si="14"/>
        <v>310</v>
      </c>
      <c r="K124" s="195"/>
      <c r="L124" s="27">
        <f t="shared" si="13"/>
        <v>328.0810522285197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3042119</v>
      </c>
      <c r="E125" s="1">
        <v>3046452</v>
      </c>
      <c r="F125" s="41">
        <f t="shared" ref="F125:F181" si="17">(E125-D125)*$N$1</f>
        <v>4.3330000000000002</v>
      </c>
      <c r="G125" s="22">
        <f t="shared" si="10"/>
        <v>17.030474951617361</v>
      </c>
      <c r="H125" s="45">
        <f t="shared" si="11"/>
        <v>10.691877774552303</v>
      </c>
      <c r="I125" s="42">
        <f t="shared" si="12"/>
        <v>27.722352726169664</v>
      </c>
      <c r="J125" s="30">
        <f t="shared" si="14"/>
        <v>310</v>
      </c>
      <c r="K125" s="195"/>
      <c r="L125" s="27">
        <f t="shared" si="13"/>
        <v>337.72235272616967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2970992</v>
      </c>
      <c r="E126" s="1">
        <v>2989432</v>
      </c>
      <c r="F126" s="41">
        <f t="shared" si="17"/>
        <v>18.440000000000001</v>
      </c>
      <c r="G126" s="22">
        <f t="shared" si="10"/>
        <v>72.476796239977887</v>
      </c>
      <c r="H126" s="45">
        <f t="shared" si="11"/>
        <v>10.691877774552303</v>
      </c>
      <c r="I126" s="42">
        <f t="shared" si="12"/>
        <v>83.168674014530183</v>
      </c>
      <c r="J126" s="30">
        <f t="shared" si="14"/>
        <v>310</v>
      </c>
      <c r="K126" s="195"/>
      <c r="L126" s="27">
        <f t="shared" si="13"/>
        <v>393.16867401453021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2674757</v>
      </c>
      <c r="E127" s="1">
        <v>2687651</v>
      </c>
      <c r="F127" s="41">
        <f t="shared" si="17"/>
        <v>12.894</v>
      </c>
      <c r="G127" s="22">
        <f t="shared" si="10"/>
        <v>50.678731600774121</v>
      </c>
      <c r="H127" s="45">
        <f t="shared" si="11"/>
        <v>10.691877774552303</v>
      </c>
      <c r="I127" s="42">
        <f t="shared" si="12"/>
        <v>61.370609375326424</v>
      </c>
      <c r="J127" s="30">
        <f t="shared" si="14"/>
        <v>310</v>
      </c>
      <c r="K127" s="195"/>
      <c r="L127" s="27">
        <f t="shared" si="13"/>
        <v>371.37060937532641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4830387</v>
      </c>
      <c r="E128" s="1">
        <v>4846841</v>
      </c>
      <c r="F128" s="41">
        <f t="shared" si="17"/>
        <v>16.454000000000001</v>
      </c>
      <c r="G128" s="22">
        <f t="shared" si="10"/>
        <v>64.670998119988937</v>
      </c>
      <c r="H128" s="45">
        <f t="shared" si="11"/>
        <v>10.691877774552303</v>
      </c>
      <c r="I128" s="42">
        <f t="shared" si="12"/>
        <v>75.362875894541247</v>
      </c>
      <c r="J128" s="30">
        <f t="shared" si="14"/>
        <v>310</v>
      </c>
      <c r="K128" s="195"/>
      <c r="L128" s="27">
        <f t="shared" si="13"/>
        <v>385.36287589454128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2098299</v>
      </c>
      <c r="E129" s="1">
        <v>2114604</v>
      </c>
      <c r="F129" s="41">
        <f t="shared" si="17"/>
        <v>16.305</v>
      </c>
      <c r="G129" s="22">
        <f t="shared" si="10"/>
        <v>64.085366740392587</v>
      </c>
      <c r="H129" s="45">
        <f t="shared" si="11"/>
        <v>10.691877774552303</v>
      </c>
      <c r="I129" s="42">
        <f t="shared" si="12"/>
        <v>74.777244514944897</v>
      </c>
      <c r="J129" s="30">
        <f t="shared" si="14"/>
        <v>310</v>
      </c>
      <c r="K129" s="195"/>
      <c r="L129" s="27">
        <f t="shared" si="13"/>
        <v>384.77724451494487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2957645</v>
      </c>
      <c r="E130" s="1">
        <v>3000856</v>
      </c>
      <c r="F130" s="41">
        <f t="shared" si="17"/>
        <v>43.210999999999999</v>
      </c>
      <c r="G130" s="22">
        <f t="shared" si="10"/>
        <v>169.83703049488525</v>
      </c>
      <c r="H130" s="45">
        <f t="shared" si="11"/>
        <v>10.691877774552303</v>
      </c>
      <c r="I130" s="42">
        <f t="shared" si="12"/>
        <v>180.52890826943755</v>
      </c>
      <c r="J130" s="30">
        <f t="shared" si="14"/>
        <v>310</v>
      </c>
      <c r="K130" s="195"/>
      <c r="L130" s="27">
        <f t="shared" si="13"/>
        <v>490.52890826943758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3123368</v>
      </c>
      <c r="E131" s="1">
        <v>3146620</v>
      </c>
      <c r="F131" s="41">
        <f t="shared" si="17"/>
        <v>23.251999999999999</v>
      </c>
      <c r="G131" s="22">
        <f t="shared" si="10"/>
        <v>91.389938512579477</v>
      </c>
      <c r="H131" s="45">
        <f t="shared" si="11"/>
        <v>10.691877774552303</v>
      </c>
      <c r="I131" s="42">
        <f t="shared" si="12"/>
        <v>102.08181628713177</v>
      </c>
      <c r="J131" s="30">
        <f t="shared" si="14"/>
        <v>310</v>
      </c>
      <c r="K131" s="195"/>
      <c r="L131" s="27">
        <f t="shared" si="13"/>
        <v>412.0818162871318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1901063</v>
      </c>
      <c r="E132" s="1">
        <v>1906205</v>
      </c>
      <c r="F132" s="41">
        <f t="shared" si="17"/>
        <v>5.1420000000000003</v>
      </c>
      <c r="G132" s="22">
        <f t="shared" ref="G132:G181" si="18">MMULT($G$1,1/$F$183)*F132</f>
        <v>20.210178213989494</v>
      </c>
      <c r="H132" s="45">
        <f t="shared" ref="H132:H182" si="19">MMULT($H$1,1/180)</f>
        <v>10.691877774552303</v>
      </c>
      <c r="I132" s="42">
        <f t="shared" ref="I132:I182" si="20">SUM(G132,H132)</f>
        <v>30.902055988541797</v>
      </c>
      <c r="J132" s="30">
        <f t="shared" si="14"/>
        <v>310</v>
      </c>
      <c r="K132" s="195"/>
      <c r="L132" s="27">
        <f t="shared" ref="L132:L182" si="21">SUM(I132,J132,K132)</f>
        <v>340.9020559885418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3493958</v>
      </c>
      <c r="E133" s="1">
        <v>3505162</v>
      </c>
      <c r="F133" s="41">
        <f t="shared" si="17"/>
        <v>11.204000000000001</v>
      </c>
      <c r="G133" s="22">
        <f t="shared" si="18"/>
        <v>44.036335416090687</v>
      </c>
      <c r="H133" s="45">
        <f t="shared" si="19"/>
        <v>10.691877774552303</v>
      </c>
      <c r="I133" s="42">
        <f t="shared" si="20"/>
        <v>54.72821319064299</v>
      </c>
      <c r="J133" s="30">
        <f t="shared" ref="J133:J182" si="22">SUM($J$3)</f>
        <v>310</v>
      </c>
      <c r="K133" s="195"/>
      <c r="L133" s="27">
        <f t="shared" si="21"/>
        <v>364.72821319064298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4077534</v>
      </c>
      <c r="E134" s="1">
        <v>4094722</v>
      </c>
      <c r="F134" s="41">
        <f t="shared" si="17"/>
        <v>17.187999999999999</v>
      </c>
      <c r="G134" s="22">
        <f t="shared" si="18"/>
        <v>67.555920486591091</v>
      </c>
      <c r="H134" s="45">
        <f t="shared" si="19"/>
        <v>10.691877774552303</v>
      </c>
      <c r="I134" s="42">
        <f t="shared" si="20"/>
        <v>78.247798261143402</v>
      </c>
      <c r="J134" s="30">
        <f t="shared" si="22"/>
        <v>310</v>
      </c>
      <c r="K134" s="195"/>
      <c r="L134" s="27">
        <f t="shared" si="21"/>
        <v>388.24779826114343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1953954</v>
      </c>
      <c r="E135" s="1">
        <v>1962652</v>
      </c>
      <c r="F135" s="41">
        <f t="shared" si="17"/>
        <v>8.6980000000000004</v>
      </c>
      <c r="G135" s="22">
        <f t="shared" si="18"/>
        <v>34.186723085429911</v>
      </c>
      <c r="H135" s="45">
        <f t="shared" si="19"/>
        <v>10.691877774552303</v>
      </c>
      <c r="I135" s="42">
        <f t="shared" si="20"/>
        <v>44.878600859982214</v>
      </c>
      <c r="J135" s="30">
        <f t="shared" si="22"/>
        <v>310</v>
      </c>
      <c r="K135" s="195"/>
      <c r="L135" s="27">
        <f t="shared" si="21"/>
        <v>354.87860085998221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2019594</v>
      </c>
      <c r="E136" s="1">
        <v>2019732</v>
      </c>
      <c r="F136" s="41">
        <f t="shared" si="17"/>
        <v>0.13800000000000001</v>
      </c>
      <c r="G136" s="22">
        <f t="shared" si="18"/>
        <v>0.54239684821675427</v>
      </c>
      <c r="H136" s="45">
        <f t="shared" si="19"/>
        <v>10.691877774552303</v>
      </c>
      <c r="I136" s="42">
        <f t="shared" si="20"/>
        <v>11.234274622769057</v>
      </c>
      <c r="J136" s="30">
        <f t="shared" si="22"/>
        <v>310</v>
      </c>
      <c r="K136" s="195"/>
      <c r="L136" s="27">
        <f t="shared" si="21"/>
        <v>321.23427462276908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4593360</v>
      </c>
      <c r="E137" s="1">
        <v>4614864</v>
      </c>
      <c r="F137" s="41">
        <f t="shared" si="17"/>
        <v>21.504000000000001</v>
      </c>
      <c r="G137" s="22">
        <f t="shared" si="18"/>
        <v>84.519578435167261</v>
      </c>
      <c r="H137" s="45">
        <f t="shared" si="19"/>
        <v>10.691877774552303</v>
      </c>
      <c r="I137" s="42">
        <f t="shared" si="20"/>
        <v>95.211456209719557</v>
      </c>
      <c r="J137" s="30">
        <f t="shared" si="22"/>
        <v>310</v>
      </c>
      <c r="K137" s="195"/>
      <c r="L137" s="27">
        <f t="shared" si="21"/>
        <v>405.21145620971959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2535113</v>
      </c>
      <c r="E138" s="1">
        <v>2550519</v>
      </c>
      <c r="F138" s="41">
        <f t="shared" si="17"/>
        <v>15.406000000000001</v>
      </c>
      <c r="G138" s="22">
        <f t="shared" si="18"/>
        <v>60.551926403096488</v>
      </c>
      <c r="H138" s="45">
        <f t="shared" si="19"/>
        <v>10.691877774552303</v>
      </c>
      <c r="I138" s="42">
        <f t="shared" si="20"/>
        <v>71.243804177648798</v>
      </c>
      <c r="J138" s="30">
        <f t="shared" si="22"/>
        <v>310</v>
      </c>
      <c r="K138" s="195"/>
      <c r="L138" s="27">
        <f t="shared" si="21"/>
        <v>381.24380417764883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3181371</v>
      </c>
      <c r="E139" s="1">
        <v>3196779</v>
      </c>
      <c r="F139" s="41">
        <f t="shared" si="17"/>
        <v>15.407999999999999</v>
      </c>
      <c r="G139" s="22">
        <f t="shared" si="18"/>
        <v>60.55978722698368</v>
      </c>
      <c r="H139" s="45">
        <f t="shared" si="19"/>
        <v>10.691877774552303</v>
      </c>
      <c r="I139" s="42">
        <f t="shared" si="20"/>
        <v>71.251665001535983</v>
      </c>
      <c r="J139" s="30">
        <f t="shared" si="22"/>
        <v>310</v>
      </c>
      <c r="K139" s="195"/>
      <c r="L139" s="27">
        <f t="shared" si="21"/>
        <v>381.25166500153597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3057705</v>
      </c>
      <c r="E140" s="1">
        <v>3064478</v>
      </c>
      <c r="F140" s="41">
        <f t="shared" si="17"/>
        <v>6.7730000000000006</v>
      </c>
      <c r="G140" s="22">
        <f t="shared" si="18"/>
        <v>26.620680094000555</v>
      </c>
      <c r="H140" s="45">
        <f t="shared" si="19"/>
        <v>10.691877774552303</v>
      </c>
      <c r="I140" s="42">
        <f t="shared" si="20"/>
        <v>37.312557868552858</v>
      </c>
      <c r="J140" s="30">
        <f t="shared" si="22"/>
        <v>310</v>
      </c>
      <c r="K140" s="195"/>
      <c r="L140" s="27">
        <f t="shared" si="21"/>
        <v>347.31255786855286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3047806</v>
      </c>
      <c r="E141" s="1">
        <v>3060179</v>
      </c>
      <c r="F141" s="41">
        <f t="shared" si="17"/>
        <v>12.373000000000001</v>
      </c>
      <c r="G141" s="22">
        <f t="shared" si="18"/>
        <v>48.630986978158695</v>
      </c>
      <c r="H141" s="45">
        <f t="shared" si="19"/>
        <v>10.691877774552303</v>
      </c>
      <c r="I141" s="42">
        <f t="shared" si="20"/>
        <v>59.322864752710998</v>
      </c>
      <c r="J141" s="30">
        <f t="shared" si="22"/>
        <v>310</v>
      </c>
      <c r="K141" s="195"/>
      <c r="L141" s="27">
        <f>SUM(I141,J141,K141)</f>
        <v>369.32286475271098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3097602</v>
      </c>
      <c r="E142" s="1">
        <v>3105031</v>
      </c>
      <c r="F142" s="41">
        <f t="shared" si="17"/>
        <v>7.4290000000000003</v>
      </c>
      <c r="G142" s="22">
        <f t="shared" si="18"/>
        <v>29.199030329001936</v>
      </c>
      <c r="H142" s="45">
        <f t="shared" si="19"/>
        <v>10.691877774552303</v>
      </c>
      <c r="I142" s="42">
        <f t="shared" si="20"/>
        <v>39.890908103554239</v>
      </c>
      <c r="J142" s="30">
        <f t="shared" si="22"/>
        <v>310</v>
      </c>
      <c r="K142" s="195"/>
      <c r="L142" s="27">
        <f t="shared" si="21"/>
        <v>349.89090810355424</v>
      </c>
    </row>
    <row r="143" spans="1:12" x14ac:dyDescent="0.45">
      <c r="A143" s="314"/>
      <c r="B143" s="5" t="s">
        <v>10</v>
      </c>
      <c r="C143" s="2">
        <v>101</v>
      </c>
      <c r="D143" s="1">
        <v>3804451</v>
      </c>
      <c r="E143" s="1">
        <v>3827460</v>
      </c>
      <c r="F143" s="41">
        <f t="shared" si="17"/>
        <v>23.009</v>
      </c>
      <c r="G143" s="22">
        <f t="shared" si="18"/>
        <v>90.434848410284758</v>
      </c>
      <c r="H143" s="45">
        <f t="shared" si="19"/>
        <v>10.691877774552303</v>
      </c>
      <c r="I143" s="42">
        <f t="shared" si="20"/>
        <v>101.12672618483705</v>
      </c>
      <c r="J143" s="30">
        <f t="shared" si="22"/>
        <v>310</v>
      </c>
      <c r="K143" s="195"/>
      <c r="L143" s="27">
        <f t="shared" si="21"/>
        <v>411.12672618483703</v>
      </c>
    </row>
    <row r="144" spans="1:12" x14ac:dyDescent="0.45">
      <c r="A144" s="314"/>
      <c r="B144" s="5" t="s">
        <v>10</v>
      </c>
      <c r="C144" s="2">
        <v>102</v>
      </c>
      <c r="D144" s="1">
        <v>20039</v>
      </c>
      <c r="E144" s="1">
        <v>24925</v>
      </c>
      <c r="F144" s="41">
        <f t="shared" si="17"/>
        <v>4.8860000000000001</v>
      </c>
      <c r="G144" s="22">
        <f t="shared" si="18"/>
        <v>19.203992756427979</v>
      </c>
      <c r="H144" s="45">
        <f t="shared" si="19"/>
        <v>10.691877774552303</v>
      </c>
      <c r="I144" s="42">
        <f t="shared" si="20"/>
        <v>29.895870530980282</v>
      </c>
      <c r="J144" s="30">
        <f t="shared" si="22"/>
        <v>310</v>
      </c>
      <c r="K144" s="195"/>
      <c r="L144" s="27">
        <f t="shared" si="21"/>
        <v>339.89587053098029</v>
      </c>
    </row>
    <row r="145" spans="1:12" x14ac:dyDescent="0.45">
      <c r="A145" s="314"/>
      <c r="B145" s="5" t="s">
        <v>10</v>
      </c>
      <c r="C145" s="2">
        <v>103</v>
      </c>
      <c r="D145" s="1">
        <v>3994358</v>
      </c>
      <c r="E145" s="1">
        <v>3994375</v>
      </c>
      <c r="F145" s="41">
        <f t="shared" si="17"/>
        <v>1.7000000000000001E-2</v>
      </c>
      <c r="G145" s="22">
        <f t="shared" si="18"/>
        <v>6.6817003041194367E-2</v>
      </c>
      <c r="H145" s="45">
        <f t="shared" si="19"/>
        <v>10.691877774552303</v>
      </c>
      <c r="I145" s="42">
        <f t="shared" si="20"/>
        <v>10.758694777593497</v>
      </c>
      <c r="J145" s="30">
        <f t="shared" si="22"/>
        <v>310</v>
      </c>
      <c r="K145" s="195"/>
      <c r="L145" s="27">
        <f t="shared" si="21"/>
        <v>320.75869477759352</v>
      </c>
    </row>
    <row r="146" spans="1:12" x14ac:dyDescent="0.45">
      <c r="A146" s="314"/>
      <c r="B146" s="5" t="s">
        <v>10</v>
      </c>
      <c r="C146" s="2">
        <v>104</v>
      </c>
      <c r="D146" s="1">
        <v>3058367</v>
      </c>
      <c r="E146" s="1">
        <v>3076503</v>
      </c>
      <c r="F146" s="41">
        <f t="shared" si="17"/>
        <v>18.135999999999999</v>
      </c>
      <c r="G146" s="22">
        <f t="shared" si="18"/>
        <v>71.281951009123574</v>
      </c>
      <c r="H146" s="45">
        <f t="shared" si="19"/>
        <v>10.691877774552303</v>
      </c>
      <c r="I146" s="42">
        <f t="shared" si="20"/>
        <v>81.973828783675884</v>
      </c>
      <c r="J146" s="30">
        <f t="shared" si="22"/>
        <v>310</v>
      </c>
      <c r="K146" s="195">
        <v>10</v>
      </c>
      <c r="L146" s="27">
        <f t="shared" si="21"/>
        <v>401.97382878367591</v>
      </c>
    </row>
    <row r="147" spans="1:12" x14ac:dyDescent="0.45">
      <c r="A147" s="314"/>
      <c r="B147" s="5" t="s">
        <v>10</v>
      </c>
      <c r="C147" s="2">
        <v>201</v>
      </c>
      <c r="D147" s="1">
        <v>5579149</v>
      </c>
      <c r="E147" s="1">
        <v>5628442</v>
      </c>
      <c r="F147" s="41">
        <f t="shared" si="17"/>
        <v>49.292999999999999</v>
      </c>
      <c r="G147" s="22">
        <f t="shared" si="18"/>
        <v>193.74179593585845</v>
      </c>
      <c r="H147" s="45">
        <f t="shared" si="19"/>
        <v>10.691877774552303</v>
      </c>
      <c r="I147" s="42">
        <f t="shared" si="20"/>
        <v>204.43367371041074</v>
      </c>
      <c r="J147" s="30">
        <f t="shared" si="22"/>
        <v>310</v>
      </c>
      <c r="K147" s="195"/>
      <c r="L147" s="27">
        <f t="shared" si="21"/>
        <v>514.43367371041074</v>
      </c>
    </row>
    <row r="148" spans="1:12" x14ac:dyDescent="0.45">
      <c r="A148" s="314"/>
      <c r="B148" s="5" t="s">
        <v>10</v>
      </c>
      <c r="C148" s="2">
        <v>202</v>
      </c>
      <c r="D148" s="1">
        <v>3474205</v>
      </c>
      <c r="E148" s="1">
        <v>3501413</v>
      </c>
      <c r="F148" s="41">
        <f t="shared" si="17"/>
        <v>27.208000000000002</v>
      </c>
      <c r="G148" s="22">
        <f t="shared" si="18"/>
        <v>106.93864816145978</v>
      </c>
      <c r="H148" s="45">
        <f t="shared" si="19"/>
        <v>10.691877774552303</v>
      </c>
      <c r="I148" s="42">
        <f t="shared" si="20"/>
        <v>117.63052593601208</v>
      </c>
      <c r="J148" s="30">
        <f t="shared" si="22"/>
        <v>310</v>
      </c>
      <c r="K148" s="195">
        <v>10</v>
      </c>
      <c r="L148" s="27">
        <f t="shared" si="21"/>
        <v>437.63052593601208</v>
      </c>
    </row>
    <row r="149" spans="1:12" x14ac:dyDescent="0.45">
      <c r="A149" s="314"/>
      <c r="B149" s="5" t="s">
        <v>10</v>
      </c>
      <c r="C149" s="2">
        <v>203</v>
      </c>
      <c r="D149" s="1">
        <v>3529673</v>
      </c>
      <c r="E149" s="1">
        <v>3552172</v>
      </c>
      <c r="F149" s="41">
        <f t="shared" si="17"/>
        <v>22.498999999999999</v>
      </c>
      <c r="G149" s="22">
        <f t="shared" si="18"/>
        <v>88.430338319048928</v>
      </c>
      <c r="H149" s="45">
        <f t="shared" si="19"/>
        <v>10.691877774552303</v>
      </c>
      <c r="I149" s="42">
        <f t="shared" si="20"/>
        <v>99.122216093601224</v>
      </c>
      <c r="J149" s="30">
        <f t="shared" si="22"/>
        <v>310</v>
      </c>
      <c r="K149" s="195">
        <v>10</v>
      </c>
      <c r="L149" s="27">
        <f t="shared" si="21"/>
        <v>419.1222160936012</v>
      </c>
    </row>
    <row r="150" spans="1:12" x14ac:dyDescent="0.45">
      <c r="A150" s="314"/>
      <c r="B150" s="5" t="s">
        <v>10</v>
      </c>
      <c r="C150" s="2">
        <v>204</v>
      </c>
      <c r="D150" s="1">
        <v>1923984</v>
      </c>
      <c r="E150" s="1">
        <v>1924218</v>
      </c>
      <c r="F150" s="41">
        <f t="shared" si="17"/>
        <v>0.23400000000000001</v>
      </c>
      <c r="G150" s="22">
        <f t="shared" si="18"/>
        <v>0.91971639480232237</v>
      </c>
      <c r="H150" s="45">
        <f t="shared" si="19"/>
        <v>10.691877774552303</v>
      </c>
      <c r="I150" s="42">
        <f t="shared" si="20"/>
        <v>11.611594169354625</v>
      </c>
      <c r="J150" s="30">
        <f t="shared" si="22"/>
        <v>310</v>
      </c>
      <c r="K150" s="195"/>
      <c r="L150" s="27">
        <f t="shared" si="21"/>
        <v>321.61159416935465</v>
      </c>
    </row>
    <row r="151" spans="1:12" x14ac:dyDescent="0.45">
      <c r="A151" s="314"/>
      <c r="B151" s="5" t="s">
        <v>10</v>
      </c>
      <c r="C151" s="2">
        <v>301</v>
      </c>
      <c r="D151" s="1">
        <v>2412843</v>
      </c>
      <c r="E151" s="1">
        <v>2427119</v>
      </c>
      <c r="F151" s="41">
        <f t="shared" si="17"/>
        <v>14.276</v>
      </c>
      <c r="G151" s="22">
        <f t="shared" si="18"/>
        <v>56.110560906828859</v>
      </c>
      <c r="H151" s="45">
        <f t="shared" si="19"/>
        <v>10.691877774552303</v>
      </c>
      <c r="I151" s="42">
        <f t="shared" si="20"/>
        <v>66.802438681381162</v>
      </c>
      <c r="J151" s="30">
        <f t="shared" si="22"/>
        <v>310</v>
      </c>
      <c r="K151" s="195"/>
      <c r="L151" s="27">
        <f t="shared" si="21"/>
        <v>376.80243868138115</v>
      </c>
    </row>
    <row r="152" spans="1:12" x14ac:dyDescent="0.45">
      <c r="A152" s="314"/>
      <c r="B152" s="5" t="s">
        <v>10</v>
      </c>
      <c r="C152" s="2">
        <v>302</v>
      </c>
      <c r="D152" s="1">
        <v>4303502</v>
      </c>
      <c r="E152" s="1">
        <v>4318644</v>
      </c>
      <c r="F152" s="41">
        <f t="shared" si="17"/>
        <v>15.141999999999999</v>
      </c>
      <c r="G152" s="22">
        <f t="shared" si="18"/>
        <v>59.514297649986169</v>
      </c>
      <c r="H152" s="45">
        <f t="shared" si="19"/>
        <v>10.691877774552303</v>
      </c>
      <c r="I152" s="42">
        <f t="shared" si="20"/>
        <v>70.206175424538472</v>
      </c>
      <c r="J152" s="30">
        <f t="shared" si="22"/>
        <v>310</v>
      </c>
      <c r="K152" s="195">
        <v>10</v>
      </c>
      <c r="L152" s="27">
        <f t="shared" si="21"/>
        <v>390.20617542453846</v>
      </c>
    </row>
    <row r="153" spans="1:12" x14ac:dyDescent="0.45">
      <c r="A153" s="314"/>
      <c r="B153" s="5" t="s">
        <v>10</v>
      </c>
      <c r="C153" s="2">
        <v>303</v>
      </c>
      <c r="D153" s="1">
        <v>2690629</v>
      </c>
      <c r="E153" s="1">
        <v>2701267</v>
      </c>
      <c r="F153" s="41">
        <f t="shared" si="17"/>
        <v>10.638</v>
      </c>
      <c r="G153" s="22">
        <f t="shared" si="18"/>
        <v>41.811722256013269</v>
      </c>
      <c r="H153" s="45">
        <f t="shared" si="19"/>
        <v>10.691877774552303</v>
      </c>
      <c r="I153" s="42">
        <f t="shared" si="20"/>
        <v>52.503600030565572</v>
      </c>
      <c r="J153" s="30">
        <f t="shared" si="22"/>
        <v>310</v>
      </c>
      <c r="K153" s="195"/>
      <c r="L153" s="27">
        <f>SUM(I153,J153,K153)</f>
        <v>362.50360003056556</v>
      </c>
    </row>
    <row r="154" spans="1:12" x14ac:dyDescent="0.45">
      <c r="A154" s="314"/>
      <c r="B154" s="5" t="s">
        <v>10</v>
      </c>
      <c r="C154" s="2">
        <v>304</v>
      </c>
      <c r="D154" s="1">
        <v>112671</v>
      </c>
      <c r="E154" s="1">
        <v>126393</v>
      </c>
      <c r="F154" s="41">
        <f t="shared" si="17"/>
        <v>13.722</v>
      </c>
      <c r="G154" s="22">
        <f t="shared" si="18"/>
        <v>53.933112690074644</v>
      </c>
      <c r="H154" s="45">
        <f t="shared" si="19"/>
        <v>10.691877774552303</v>
      </c>
      <c r="I154" s="42">
        <f t="shared" si="20"/>
        <v>64.624990464626947</v>
      </c>
      <c r="J154" s="30">
        <f t="shared" si="22"/>
        <v>310</v>
      </c>
      <c r="K154" s="195"/>
      <c r="L154" s="27">
        <f t="shared" si="21"/>
        <v>374.62499046462693</v>
      </c>
    </row>
    <row r="155" spans="1:12" x14ac:dyDescent="0.45">
      <c r="A155" s="314"/>
      <c r="B155" s="5" t="s">
        <v>10</v>
      </c>
      <c r="C155" s="2">
        <v>401</v>
      </c>
      <c r="D155" s="1">
        <v>5099131</v>
      </c>
      <c r="E155" s="1">
        <v>5101082</v>
      </c>
      <c r="F155" s="41">
        <f t="shared" si="17"/>
        <v>1.9510000000000001</v>
      </c>
      <c r="G155" s="22">
        <f t="shared" si="18"/>
        <v>7.6682337019629525</v>
      </c>
      <c r="H155" s="45">
        <f t="shared" si="19"/>
        <v>10.691877774552303</v>
      </c>
      <c r="I155" s="42">
        <f t="shared" si="20"/>
        <v>18.360111476515257</v>
      </c>
      <c r="J155" s="30">
        <f t="shared" si="22"/>
        <v>310</v>
      </c>
      <c r="K155" s="195"/>
      <c r="L155" s="27">
        <f t="shared" si="21"/>
        <v>328.36011147651527</v>
      </c>
    </row>
    <row r="156" spans="1:12" x14ac:dyDescent="0.45">
      <c r="A156" s="314"/>
      <c r="B156" s="5" t="s">
        <v>10</v>
      </c>
      <c r="C156" s="2">
        <v>402</v>
      </c>
      <c r="D156" s="1">
        <v>3841173</v>
      </c>
      <c r="E156" s="1">
        <v>3855670</v>
      </c>
      <c r="F156" s="41">
        <f t="shared" si="17"/>
        <v>14.497</v>
      </c>
      <c r="G156" s="22">
        <f t="shared" si="18"/>
        <v>56.979181946364385</v>
      </c>
      <c r="H156" s="45">
        <f t="shared" si="19"/>
        <v>10.691877774552303</v>
      </c>
      <c r="I156" s="42">
        <f t="shared" si="20"/>
        <v>67.671059720916688</v>
      </c>
      <c r="J156" s="30">
        <f t="shared" si="22"/>
        <v>310</v>
      </c>
      <c r="K156" s="195"/>
      <c r="L156" s="27">
        <f t="shared" si="21"/>
        <v>377.67105972091667</v>
      </c>
    </row>
    <row r="157" spans="1:12" x14ac:dyDescent="0.45">
      <c r="A157" s="314"/>
      <c r="B157" s="5" t="s">
        <v>10</v>
      </c>
      <c r="C157" s="2">
        <v>403</v>
      </c>
      <c r="D157" s="1">
        <v>164350</v>
      </c>
      <c r="E157" s="1">
        <v>187245</v>
      </c>
      <c r="F157" s="41">
        <f t="shared" si="17"/>
        <v>22.895</v>
      </c>
      <c r="G157" s="22">
        <f t="shared" si="18"/>
        <v>89.986781448714396</v>
      </c>
      <c r="H157" s="45">
        <f t="shared" si="19"/>
        <v>10.691877774552303</v>
      </c>
      <c r="I157" s="42">
        <f t="shared" si="20"/>
        <v>100.67865922326669</v>
      </c>
      <c r="J157" s="30">
        <f t="shared" si="22"/>
        <v>310</v>
      </c>
      <c r="K157" s="195"/>
      <c r="L157" s="27">
        <f t="shared" si="21"/>
        <v>410.67865922326666</v>
      </c>
    </row>
    <row r="158" spans="1:12" x14ac:dyDescent="0.45">
      <c r="A158" s="314"/>
      <c r="B158" s="5" t="s">
        <v>10</v>
      </c>
      <c r="C158" s="2">
        <v>404</v>
      </c>
      <c r="D158" s="1">
        <v>180366</v>
      </c>
      <c r="E158" s="1">
        <v>197038</v>
      </c>
      <c r="F158" s="41">
        <f>(E158-D158)*$N$1</f>
        <v>16.672000000000001</v>
      </c>
      <c r="G158" s="22">
        <f t="shared" si="18"/>
        <v>65.527827923693664</v>
      </c>
      <c r="H158" s="45">
        <f t="shared" si="19"/>
        <v>10.691877774552303</v>
      </c>
      <c r="I158" s="42">
        <f t="shared" si="20"/>
        <v>76.219705698245974</v>
      </c>
      <c r="J158" s="30">
        <f t="shared" si="22"/>
        <v>310</v>
      </c>
      <c r="K158" s="195">
        <v>10</v>
      </c>
      <c r="L158" s="27">
        <f>SUM(I158,J158,K158)</f>
        <v>396.219705698246</v>
      </c>
    </row>
    <row r="159" spans="1:12" x14ac:dyDescent="0.45">
      <c r="A159" s="314"/>
      <c r="B159" s="5" t="s">
        <v>10</v>
      </c>
      <c r="C159" s="2">
        <v>501</v>
      </c>
      <c r="D159" s="1">
        <v>250760</v>
      </c>
      <c r="E159" s="1">
        <v>252363</v>
      </c>
      <c r="F159" s="41">
        <f>(E159-D159)*0.01</f>
        <v>16.03</v>
      </c>
      <c r="G159" s="22">
        <f t="shared" si="18"/>
        <v>63.004503455902686</v>
      </c>
      <c r="H159" s="45">
        <f t="shared" si="19"/>
        <v>10.691877774552303</v>
      </c>
      <c r="I159" s="42">
        <f t="shared" si="20"/>
        <v>73.696381230454989</v>
      </c>
      <c r="J159" s="30">
        <f t="shared" si="22"/>
        <v>310</v>
      </c>
      <c r="K159" s="195">
        <v>10</v>
      </c>
      <c r="L159" s="27">
        <f>SUM(I159,J159,K159)</f>
        <v>393.69638123045502</v>
      </c>
    </row>
    <row r="160" spans="1:12" x14ac:dyDescent="0.45">
      <c r="A160" s="314"/>
      <c r="B160" s="5" t="s">
        <v>10</v>
      </c>
      <c r="C160" s="2">
        <v>502</v>
      </c>
      <c r="D160" s="1">
        <v>2850180</v>
      </c>
      <c r="E160" s="1">
        <v>2865515</v>
      </c>
      <c r="F160" s="41">
        <f t="shared" si="17"/>
        <v>15.335000000000001</v>
      </c>
      <c r="G160" s="22">
        <f t="shared" si="18"/>
        <v>60.272867155100911</v>
      </c>
      <c r="H160" s="45">
        <f t="shared" si="19"/>
        <v>10.691877774552303</v>
      </c>
      <c r="I160" s="42">
        <f t="shared" si="20"/>
        <v>70.964744929653222</v>
      </c>
      <c r="J160" s="30">
        <f t="shared" si="22"/>
        <v>310</v>
      </c>
      <c r="K160" s="195">
        <v>300</v>
      </c>
      <c r="L160" s="27">
        <f t="shared" si="21"/>
        <v>680.96474492965319</v>
      </c>
    </row>
    <row r="161" spans="1:12" x14ac:dyDescent="0.45">
      <c r="A161" s="314"/>
      <c r="B161" s="5" t="s">
        <v>10</v>
      </c>
      <c r="C161" s="2">
        <v>503</v>
      </c>
      <c r="D161" s="1">
        <v>3829202</v>
      </c>
      <c r="E161" s="1">
        <v>3847047</v>
      </c>
      <c r="F161" s="41">
        <f t="shared" si="17"/>
        <v>17.844999999999999</v>
      </c>
      <c r="G161" s="22">
        <f t="shared" si="18"/>
        <v>70.138201133536072</v>
      </c>
      <c r="H161" s="45">
        <f t="shared" si="19"/>
        <v>10.691877774552303</v>
      </c>
      <c r="I161" s="42">
        <f t="shared" si="20"/>
        <v>80.830078908088382</v>
      </c>
      <c r="J161" s="30">
        <f t="shared" si="22"/>
        <v>310</v>
      </c>
      <c r="K161" s="195"/>
      <c r="L161" s="27">
        <f t="shared" si="21"/>
        <v>390.83007890808835</v>
      </c>
    </row>
    <row r="162" spans="1:12" x14ac:dyDescent="0.45">
      <c r="A162" s="314"/>
      <c r="B162" s="5" t="s">
        <v>10</v>
      </c>
      <c r="C162" s="2">
        <v>504</v>
      </c>
      <c r="D162" s="1">
        <v>3612541</v>
      </c>
      <c r="E162" s="1">
        <v>3615511</v>
      </c>
      <c r="F162" s="41">
        <f t="shared" si="17"/>
        <v>2.97</v>
      </c>
      <c r="G162" s="22">
        <f t="shared" si="18"/>
        <v>11.673323472491015</v>
      </c>
      <c r="H162" s="45">
        <f t="shared" si="19"/>
        <v>10.691877774552303</v>
      </c>
      <c r="I162" s="42">
        <f t="shared" si="20"/>
        <v>22.365201247043316</v>
      </c>
      <c r="J162" s="30">
        <f t="shared" si="22"/>
        <v>310</v>
      </c>
      <c r="K162" s="195"/>
      <c r="L162" s="27">
        <f t="shared" si="21"/>
        <v>332.36520124704333</v>
      </c>
    </row>
    <row r="163" spans="1:12" x14ac:dyDescent="0.45">
      <c r="A163" s="318"/>
      <c r="B163" s="5" t="s">
        <v>11</v>
      </c>
      <c r="C163" s="2">
        <v>101</v>
      </c>
      <c r="D163" s="1">
        <v>3133069</v>
      </c>
      <c r="E163" s="1">
        <v>3157133</v>
      </c>
      <c r="F163" s="41">
        <f t="shared" si="17"/>
        <v>24.064</v>
      </c>
      <c r="G163" s="22">
        <f t="shared" si="18"/>
        <v>94.581433010782419</v>
      </c>
      <c r="H163" s="45">
        <f t="shared" si="19"/>
        <v>10.691877774552303</v>
      </c>
      <c r="I163" s="42">
        <f t="shared" si="20"/>
        <v>105.27331078533473</v>
      </c>
      <c r="J163" s="30">
        <f t="shared" si="22"/>
        <v>310</v>
      </c>
      <c r="K163" s="195"/>
      <c r="L163" s="27">
        <f t="shared" si="21"/>
        <v>415.27331078533473</v>
      </c>
    </row>
    <row r="164" spans="1:12" x14ac:dyDescent="0.45">
      <c r="A164" s="318"/>
      <c r="B164" s="5" t="s">
        <v>11</v>
      </c>
      <c r="C164" s="2">
        <v>102</v>
      </c>
      <c r="D164" s="1">
        <v>2904082</v>
      </c>
      <c r="E164" s="1">
        <v>2933493</v>
      </c>
      <c r="F164" s="41">
        <f t="shared" si="17"/>
        <v>29.411000000000001</v>
      </c>
      <c r="G164" s="22">
        <f t="shared" si="18"/>
        <v>115.59734567320984</v>
      </c>
      <c r="H164" s="45">
        <f t="shared" si="19"/>
        <v>10.691877774552303</v>
      </c>
      <c r="I164" s="42">
        <f t="shared" si="20"/>
        <v>126.28922344776214</v>
      </c>
      <c r="J164" s="30">
        <f t="shared" si="22"/>
        <v>310</v>
      </c>
      <c r="K164" s="195">
        <v>10</v>
      </c>
      <c r="L164" s="27">
        <f t="shared" si="21"/>
        <v>446.28922344776214</v>
      </c>
    </row>
    <row r="165" spans="1:12" x14ac:dyDescent="0.45">
      <c r="A165" s="318"/>
      <c r="B165" s="5" t="s">
        <v>11</v>
      </c>
      <c r="C165" s="2">
        <v>103</v>
      </c>
      <c r="D165" s="1">
        <v>2426117</v>
      </c>
      <c r="E165" s="1">
        <v>2433719</v>
      </c>
      <c r="F165" s="41">
        <f t="shared" si="17"/>
        <v>7.6020000000000003</v>
      </c>
      <c r="G165" s="22">
        <f t="shared" si="18"/>
        <v>29.878991595244678</v>
      </c>
      <c r="H165" s="45">
        <f t="shared" si="19"/>
        <v>10.691877774552303</v>
      </c>
      <c r="I165" s="42">
        <f t="shared" si="20"/>
        <v>40.570869369796981</v>
      </c>
      <c r="J165" s="30">
        <f t="shared" si="22"/>
        <v>310</v>
      </c>
      <c r="K165" s="195"/>
      <c r="L165" s="27">
        <f t="shared" si="21"/>
        <v>350.57086936979698</v>
      </c>
    </row>
    <row r="166" spans="1:12" x14ac:dyDescent="0.45">
      <c r="A166" s="318"/>
      <c r="B166" s="5" t="s">
        <v>11</v>
      </c>
      <c r="C166" s="2">
        <v>104</v>
      </c>
      <c r="D166" s="1">
        <v>2988243</v>
      </c>
      <c r="E166" s="1">
        <v>3022687</v>
      </c>
      <c r="F166" s="41">
        <f t="shared" si="17"/>
        <v>34.444000000000003</v>
      </c>
      <c r="G166" s="22">
        <f t="shared" si="18"/>
        <v>135.37910898534699</v>
      </c>
      <c r="H166" s="45">
        <f t="shared" si="19"/>
        <v>10.691877774552303</v>
      </c>
      <c r="I166" s="42">
        <f t="shared" si="20"/>
        <v>146.07098675989928</v>
      </c>
      <c r="J166" s="30">
        <f t="shared" si="22"/>
        <v>310</v>
      </c>
      <c r="K166" s="195">
        <v>10</v>
      </c>
      <c r="L166" s="27">
        <f t="shared" si="21"/>
        <v>466.07098675989926</v>
      </c>
    </row>
    <row r="167" spans="1:12" x14ac:dyDescent="0.45">
      <c r="A167" s="318"/>
      <c r="B167" s="5" t="s">
        <v>11</v>
      </c>
      <c r="C167" s="2">
        <v>201</v>
      </c>
      <c r="D167" s="1">
        <v>2208378</v>
      </c>
      <c r="E167" s="1">
        <v>2225916</v>
      </c>
      <c r="F167" s="41">
        <f t="shared" si="17"/>
        <v>17.538</v>
      </c>
      <c r="G167" s="22">
        <f t="shared" si="18"/>
        <v>68.931564666850974</v>
      </c>
      <c r="H167" s="45">
        <f t="shared" si="19"/>
        <v>10.691877774552303</v>
      </c>
      <c r="I167" s="42">
        <f t="shared" si="20"/>
        <v>79.623442441403284</v>
      </c>
      <c r="J167" s="30">
        <f t="shared" si="22"/>
        <v>310</v>
      </c>
      <c r="K167" s="195"/>
      <c r="L167" s="27">
        <f t="shared" si="21"/>
        <v>389.62344244140331</v>
      </c>
    </row>
    <row r="168" spans="1:12" x14ac:dyDescent="0.45">
      <c r="A168" s="318"/>
      <c r="B168" s="5" t="s">
        <v>11</v>
      </c>
      <c r="C168" s="2">
        <v>202</v>
      </c>
      <c r="D168" s="1">
        <v>265900</v>
      </c>
      <c r="E168" s="1">
        <v>289217</v>
      </c>
      <c r="F168" s="41">
        <f t="shared" si="17"/>
        <v>23.317</v>
      </c>
      <c r="G168" s="22">
        <f t="shared" si="18"/>
        <v>91.645415288913455</v>
      </c>
      <c r="H168" s="45">
        <f t="shared" si="19"/>
        <v>10.691877774552303</v>
      </c>
      <c r="I168" s="42">
        <f t="shared" si="20"/>
        <v>102.33729306346575</v>
      </c>
      <c r="J168" s="30">
        <f t="shared" si="22"/>
        <v>310</v>
      </c>
      <c r="K168" s="195">
        <v>10</v>
      </c>
      <c r="L168" s="27">
        <f t="shared" si="21"/>
        <v>422.33729306346572</v>
      </c>
    </row>
    <row r="169" spans="1:12" x14ac:dyDescent="0.45">
      <c r="A169" s="318"/>
      <c r="B169" s="5" t="s">
        <v>11</v>
      </c>
      <c r="C169" s="2">
        <v>203</v>
      </c>
      <c r="D169" s="1">
        <v>2831381</v>
      </c>
      <c r="E169" s="1">
        <v>2844418</v>
      </c>
      <c r="F169" s="41">
        <f t="shared" si="17"/>
        <v>13.037000000000001</v>
      </c>
      <c r="G169" s="22">
        <f t="shared" si="18"/>
        <v>51.240780508708873</v>
      </c>
      <c r="H169" s="45">
        <f t="shared" si="19"/>
        <v>10.691877774552303</v>
      </c>
      <c r="I169" s="42">
        <f t="shared" si="20"/>
        <v>61.932658283261176</v>
      </c>
      <c r="J169" s="30">
        <f t="shared" si="22"/>
        <v>310</v>
      </c>
      <c r="K169" s="195">
        <v>10</v>
      </c>
      <c r="L169" s="27">
        <f t="shared" si="21"/>
        <v>381.93265828326116</v>
      </c>
    </row>
    <row r="170" spans="1:12" x14ac:dyDescent="0.45">
      <c r="A170" s="318"/>
      <c r="B170" s="5" t="s">
        <v>11</v>
      </c>
      <c r="C170" s="2">
        <v>204</v>
      </c>
      <c r="D170" s="1">
        <v>2425230</v>
      </c>
      <c r="E170" s="1">
        <v>2441699</v>
      </c>
      <c r="F170" s="41">
        <f t="shared" si="17"/>
        <v>16.469000000000001</v>
      </c>
      <c r="G170" s="22">
        <f t="shared" si="18"/>
        <v>64.729954299142932</v>
      </c>
      <c r="H170" s="45">
        <f t="shared" si="19"/>
        <v>10.691877774552303</v>
      </c>
      <c r="I170" s="42">
        <f t="shared" si="20"/>
        <v>75.421832073695242</v>
      </c>
      <c r="J170" s="30">
        <f t="shared" si="22"/>
        <v>310</v>
      </c>
      <c r="K170" s="195"/>
      <c r="L170" s="27">
        <f t="shared" si="21"/>
        <v>385.42183207369521</v>
      </c>
    </row>
    <row r="171" spans="1:12" x14ac:dyDescent="0.45">
      <c r="A171" s="318"/>
      <c r="B171" s="5" t="s">
        <v>11</v>
      </c>
      <c r="C171" s="2">
        <v>301</v>
      </c>
      <c r="D171" s="1">
        <v>3451025</v>
      </c>
      <c r="E171" s="1">
        <v>3462803</v>
      </c>
      <c r="F171" s="41">
        <f t="shared" si="17"/>
        <v>11.778</v>
      </c>
      <c r="G171" s="22">
        <f t="shared" si="18"/>
        <v>46.292391871716895</v>
      </c>
      <c r="H171" s="45">
        <f t="shared" si="19"/>
        <v>10.691877774552303</v>
      </c>
      <c r="I171" s="42">
        <f t="shared" si="20"/>
        <v>56.984269646269198</v>
      </c>
      <c r="J171" s="30">
        <f t="shared" si="22"/>
        <v>310</v>
      </c>
      <c r="K171" s="195"/>
      <c r="L171" s="27">
        <f t="shared" si="21"/>
        <v>366.98426964626918</v>
      </c>
    </row>
    <row r="172" spans="1:12" x14ac:dyDescent="0.45">
      <c r="A172" s="318"/>
      <c r="B172" s="5" t="s">
        <v>11</v>
      </c>
      <c r="C172" s="2">
        <v>302</v>
      </c>
      <c r="D172" s="1">
        <v>2756903</v>
      </c>
      <c r="E172" s="1">
        <v>2769129</v>
      </c>
      <c r="F172" s="41">
        <f t="shared" si="17"/>
        <v>12.226000000000001</v>
      </c>
      <c r="G172" s="22">
        <f t="shared" si="18"/>
        <v>48.053216422449545</v>
      </c>
      <c r="H172" s="45">
        <f t="shared" si="19"/>
        <v>10.691877774552303</v>
      </c>
      <c r="I172" s="42">
        <f t="shared" si="20"/>
        <v>58.745094197001848</v>
      </c>
      <c r="J172" s="30">
        <f t="shared" si="22"/>
        <v>310</v>
      </c>
      <c r="K172" s="195">
        <v>10</v>
      </c>
      <c r="L172" s="27">
        <f t="shared" si="21"/>
        <v>378.74509419700183</v>
      </c>
    </row>
    <row r="173" spans="1:12" x14ac:dyDescent="0.45">
      <c r="A173" s="318"/>
      <c r="B173" s="5" t="s">
        <v>11</v>
      </c>
      <c r="C173" s="2">
        <v>303</v>
      </c>
      <c r="D173" s="1">
        <v>2558326</v>
      </c>
      <c r="E173" s="1">
        <v>2574614</v>
      </c>
      <c r="F173" s="41">
        <f t="shared" si="17"/>
        <v>16.288</v>
      </c>
      <c r="G173" s="22">
        <f t="shared" si="18"/>
        <v>64.018549737351393</v>
      </c>
      <c r="H173" s="45">
        <f t="shared" si="19"/>
        <v>10.691877774552303</v>
      </c>
      <c r="I173" s="42">
        <f t="shared" si="20"/>
        <v>74.710427511903703</v>
      </c>
      <c r="J173" s="30">
        <f t="shared" si="22"/>
        <v>310</v>
      </c>
      <c r="K173" s="195"/>
      <c r="L173" s="27">
        <f t="shared" si="21"/>
        <v>384.71042751190373</v>
      </c>
    </row>
    <row r="174" spans="1:12" x14ac:dyDescent="0.45">
      <c r="A174" s="318"/>
      <c r="B174" s="5" t="s">
        <v>11</v>
      </c>
      <c r="C174" s="2">
        <v>304</v>
      </c>
      <c r="D174" s="1">
        <v>5426411</v>
      </c>
      <c r="E174" s="1">
        <v>5431856</v>
      </c>
      <c r="F174" s="41">
        <f t="shared" si="17"/>
        <v>5.4450000000000003</v>
      </c>
      <c r="G174" s="22">
        <f t="shared" si="18"/>
        <v>21.401093032900192</v>
      </c>
      <c r="H174" s="45">
        <f t="shared" si="19"/>
        <v>10.691877774552303</v>
      </c>
      <c r="I174" s="42">
        <f t="shared" si="20"/>
        <v>32.092970807452495</v>
      </c>
      <c r="J174" s="30">
        <f t="shared" si="22"/>
        <v>310</v>
      </c>
      <c r="K174" s="195">
        <v>10</v>
      </c>
      <c r="L174" s="27">
        <f t="shared" si="21"/>
        <v>352.0929708074525</v>
      </c>
    </row>
    <row r="175" spans="1:12" x14ac:dyDescent="0.45">
      <c r="A175" s="318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10.691877774552303</v>
      </c>
      <c r="I175" s="42">
        <f t="shared" si="20"/>
        <v>10.691877774552303</v>
      </c>
      <c r="J175" s="30">
        <f t="shared" si="22"/>
        <v>310</v>
      </c>
      <c r="K175" s="195">
        <v>10</v>
      </c>
      <c r="L175" s="27">
        <f t="shared" si="21"/>
        <v>330.69187777455232</v>
      </c>
    </row>
    <row r="176" spans="1:12" x14ac:dyDescent="0.45">
      <c r="A176" s="318"/>
      <c r="B176" s="5" t="s">
        <v>11</v>
      </c>
      <c r="C176" s="2">
        <v>402</v>
      </c>
      <c r="D176" s="1">
        <v>2045790</v>
      </c>
      <c r="E176" s="1">
        <v>2054797</v>
      </c>
      <c r="F176" s="41">
        <f t="shared" si="17"/>
        <v>9.0069999999999997</v>
      </c>
      <c r="G176" s="22">
        <f t="shared" si="18"/>
        <v>35.401220376002208</v>
      </c>
      <c r="H176" s="45">
        <f t="shared" si="19"/>
        <v>10.691877774552303</v>
      </c>
      <c r="I176" s="42">
        <f t="shared" si="20"/>
        <v>46.093098150554511</v>
      </c>
      <c r="J176" s="30">
        <f t="shared" si="22"/>
        <v>310</v>
      </c>
      <c r="K176" s="195"/>
      <c r="L176" s="27">
        <f t="shared" si="21"/>
        <v>356.09309815055451</v>
      </c>
    </row>
    <row r="177" spans="1:12" x14ac:dyDescent="0.45">
      <c r="A177" s="318"/>
      <c r="B177" s="5" t="s">
        <v>11</v>
      </c>
      <c r="C177" s="2">
        <v>403</v>
      </c>
      <c r="D177" s="1">
        <v>3310520</v>
      </c>
      <c r="E177" s="1">
        <v>3324166</v>
      </c>
      <c r="F177" s="41">
        <f t="shared" si="17"/>
        <v>13.646000000000001</v>
      </c>
      <c r="G177" s="22">
        <f t="shared" si="18"/>
        <v>53.634401382361077</v>
      </c>
      <c r="H177" s="45">
        <f t="shared" si="19"/>
        <v>10.691877774552303</v>
      </c>
      <c r="I177" s="42">
        <f t="shared" si="20"/>
        <v>64.326279156913387</v>
      </c>
      <c r="J177" s="30">
        <f t="shared" si="22"/>
        <v>310</v>
      </c>
      <c r="K177" s="195"/>
      <c r="L177" s="27">
        <f t="shared" si="21"/>
        <v>374.32627915691342</v>
      </c>
    </row>
    <row r="178" spans="1:12" x14ac:dyDescent="0.45">
      <c r="A178" s="318"/>
      <c r="B178" s="5" t="s">
        <v>11</v>
      </c>
      <c r="C178" s="2">
        <v>404</v>
      </c>
      <c r="D178" s="1">
        <v>107837</v>
      </c>
      <c r="E178" s="1">
        <v>124763</v>
      </c>
      <c r="F178" s="41">
        <f t="shared" si="17"/>
        <v>16.926000000000002</v>
      </c>
      <c r="G178" s="22">
        <f t="shared" si="18"/>
        <v>66.526152557367993</v>
      </c>
      <c r="H178" s="45">
        <f>MMULT($H$1,1/180)</f>
        <v>10.691877774552303</v>
      </c>
      <c r="I178" s="42">
        <f t="shared" si="20"/>
        <v>77.218030331920289</v>
      </c>
      <c r="J178" s="30">
        <f t="shared" si="22"/>
        <v>310</v>
      </c>
      <c r="K178" s="195"/>
      <c r="L178" s="27">
        <f t="shared" si="21"/>
        <v>387.21803033192032</v>
      </c>
    </row>
    <row r="179" spans="1:12" x14ac:dyDescent="0.45">
      <c r="A179" s="318"/>
      <c r="B179" s="5" t="s">
        <v>11</v>
      </c>
      <c r="C179" s="2">
        <v>501</v>
      </c>
      <c r="D179" s="1">
        <v>4034293</v>
      </c>
      <c r="E179" s="1">
        <v>4065799</v>
      </c>
      <c r="F179" s="41">
        <f t="shared" si="17"/>
        <v>31.506</v>
      </c>
      <c r="G179" s="22">
        <f t="shared" si="18"/>
        <v>123.83155869505114</v>
      </c>
      <c r="H179" s="45">
        <f t="shared" si="19"/>
        <v>10.691877774552303</v>
      </c>
      <c r="I179" s="42">
        <f t="shared" si="20"/>
        <v>134.52343646960344</v>
      </c>
      <c r="J179" s="30">
        <f t="shared" si="22"/>
        <v>310</v>
      </c>
      <c r="K179" s="195">
        <v>10</v>
      </c>
      <c r="L179" s="27">
        <f t="shared" si="21"/>
        <v>454.52343646960344</v>
      </c>
    </row>
    <row r="180" spans="1:12" x14ac:dyDescent="0.45">
      <c r="A180" s="318"/>
      <c r="B180" s="5" t="s">
        <v>11</v>
      </c>
      <c r="C180" s="2">
        <v>502</v>
      </c>
      <c r="D180" s="1">
        <v>4012478</v>
      </c>
      <c r="E180" s="1">
        <v>4031819</v>
      </c>
      <c r="F180" s="41">
        <f t="shared" si="17"/>
        <v>19.341000000000001</v>
      </c>
      <c r="G180" s="22">
        <f t="shared" si="18"/>
        <v>76.018097401161185</v>
      </c>
      <c r="H180" s="45">
        <f t="shared" si="19"/>
        <v>10.691877774552303</v>
      </c>
      <c r="I180" s="42">
        <f t="shared" si="20"/>
        <v>86.709975175713481</v>
      </c>
      <c r="J180" s="30">
        <f t="shared" si="22"/>
        <v>310</v>
      </c>
      <c r="K180" s="195"/>
      <c r="L180" s="27">
        <f t="shared" si="21"/>
        <v>396.70997517571345</v>
      </c>
    </row>
    <row r="181" spans="1:12" x14ac:dyDescent="0.45">
      <c r="A181" s="318"/>
      <c r="B181" s="5" t="s">
        <v>11</v>
      </c>
      <c r="C181" s="2">
        <v>503</v>
      </c>
      <c r="D181" s="1">
        <v>2464703</v>
      </c>
      <c r="E181" s="1">
        <v>2480708</v>
      </c>
      <c r="F181" s="41">
        <f t="shared" si="17"/>
        <v>16.004999999999999</v>
      </c>
      <c r="G181" s="22">
        <f t="shared" si="18"/>
        <v>62.90624315731268</v>
      </c>
      <c r="H181" s="45">
        <f t="shared" si="19"/>
        <v>10.691877774552303</v>
      </c>
      <c r="I181" s="42">
        <f t="shared" si="20"/>
        <v>73.598120931864983</v>
      </c>
      <c r="J181" s="30">
        <f t="shared" si="22"/>
        <v>310</v>
      </c>
      <c r="K181" s="195"/>
      <c r="L181" s="27">
        <f t="shared" si="21"/>
        <v>383.59812093186497</v>
      </c>
    </row>
    <row r="182" spans="1:12" x14ac:dyDescent="0.45">
      <c r="A182" s="318"/>
      <c r="B182" s="5" t="s">
        <v>11</v>
      </c>
      <c r="C182" s="2">
        <v>504</v>
      </c>
      <c r="D182" s="1">
        <v>3395933</v>
      </c>
      <c r="E182" s="1">
        <v>3419266</v>
      </c>
      <c r="F182" s="41">
        <f>(E182-D182)*$N$1</f>
        <v>23.333000000000002</v>
      </c>
      <c r="G182" s="22">
        <f>MMULT($G$1,1/$F$183)*F182</f>
        <v>91.708301880011064</v>
      </c>
      <c r="H182" s="45">
        <f t="shared" si="19"/>
        <v>10.691877774552303</v>
      </c>
      <c r="I182" s="42">
        <f t="shared" si="20"/>
        <v>102.40017965456337</v>
      </c>
      <c r="J182" s="30">
        <f t="shared" si="22"/>
        <v>310</v>
      </c>
      <c r="K182" s="195"/>
      <c r="L182" s="27">
        <f t="shared" si="21"/>
        <v>412.40017965456337</v>
      </c>
    </row>
    <row r="183" spans="1:12" ht="15" customHeight="1" x14ac:dyDescent="0.45">
      <c r="F183" s="92">
        <f>SUM(F3:F182)</f>
        <v>3127.3469999999984</v>
      </c>
      <c r="G183" s="42">
        <f>SUM(G3:G182)</f>
        <v>12291.762000580589</v>
      </c>
      <c r="H183" s="45">
        <f>SUM(H3:H182)</f>
        <v>1924.5379994194102</v>
      </c>
      <c r="K183" s="161" t="s">
        <v>12</v>
      </c>
    </row>
    <row r="184" spans="1:12" ht="15" customHeight="1" x14ac:dyDescent="0.45">
      <c r="F184" t="s">
        <v>12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8228.9</v>
      </c>
      <c r="F188" s="93">
        <v>2068</v>
      </c>
      <c r="G188" s="92">
        <f>MMULT(E188,1/F188)</f>
        <v>3.9791586073500964</v>
      </c>
      <c r="H188" s="20"/>
    </row>
    <row r="189" spans="1:12" ht="15" customHeight="1" thickBot="1" x14ac:dyDescent="0.5">
      <c r="D189" s="46">
        <v>6244619</v>
      </c>
      <c r="E189" s="88">
        <v>5987.4</v>
      </c>
      <c r="F189" s="94">
        <v>1549</v>
      </c>
      <c r="G189" s="92">
        <f>MMULT(E189,1/F189)</f>
        <v>3.8653324725629434</v>
      </c>
      <c r="H189" s="152"/>
    </row>
    <row r="190" spans="1:12" ht="15" customHeight="1" thickBot="1" x14ac:dyDescent="0.5">
      <c r="D190" s="6" t="s">
        <v>33</v>
      </c>
      <c r="E190" s="48">
        <f>SUM(E188:E189)</f>
        <v>14216.3</v>
      </c>
      <c r="F190" s="95">
        <f>SUM(F188:F189)</f>
        <v>3617</v>
      </c>
      <c r="H190" s="61"/>
    </row>
    <row r="191" spans="1:12" ht="15" customHeight="1" x14ac:dyDescent="0.45">
      <c r="E191" s="6" t="s">
        <v>283</v>
      </c>
      <c r="H191" s="61"/>
    </row>
    <row r="192" spans="1:12" ht="15" customHeight="1" x14ac:dyDescent="0.45">
      <c r="D192" s="319" t="s">
        <v>69</v>
      </c>
      <c r="E192" s="319"/>
      <c r="F192" s="49">
        <f>SUM(F190)</f>
        <v>3617</v>
      </c>
      <c r="G192" s="156">
        <f>SUM(I192)</f>
        <v>3.9304119435996681</v>
      </c>
      <c r="H192" s="155" t="s">
        <v>12</v>
      </c>
      <c r="I192" s="157">
        <f>MMULT(E190,1/F190)</f>
        <v>3.9304119435996681</v>
      </c>
    </row>
    <row r="193" spans="4:8" ht="15" customHeight="1" x14ac:dyDescent="0.45">
      <c r="D193" s="320" t="s">
        <v>271</v>
      </c>
      <c r="E193" s="321"/>
      <c r="F193" s="49">
        <f>SUM(F183)</f>
        <v>3127.3469999999984</v>
      </c>
      <c r="G193" s="27">
        <f>MMULT(F193,G192)</f>
        <v>12291.762000580586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489.65300000000161</v>
      </c>
      <c r="G194" s="158">
        <f>MMULT(F194,G192)</f>
        <v>1924.5379994194145</v>
      </c>
      <c r="H194" s="61"/>
    </row>
    <row r="195" spans="4:8" ht="15" customHeight="1" thickBot="1" x14ac:dyDescent="0.5">
      <c r="F195" s="7"/>
      <c r="G195" s="48">
        <f>SUM(G193:G194)</f>
        <v>14216.3</v>
      </c>
    </row>
    <row r="196" spans="4:8" ht="15" customHeight="1" x14ac:dyDescent="0.45">
      <c r="F196" s="7"/>
    </row>
    <row r="197" spans="4:8" ht="15" customHeight="1" x14ac:dyDescent="0.45"/>
    <row r="198" spans="4:8" ht="15" customHeight="1" x14ac:dyDescent="0.45">
      <c r="D198" t="s">
        <v>70</v>
      </c>
      <c r="F198" s="20">
        <f>MAX(F3:F182)</f>
        <v>53.564999999999998</v>
      </c>
      <c r="G198" s="20">
        <f>MAX(I3:I182)</f>
        <v>221.22439353346851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10.691877774552303</v>
      </c>
    </row>
    <row r="200" spans="4:8" ht="15" customHeight="1" x14ac:dyDescent="0.45">
      <c r="D200" t="s">
        <v>265</v>
      </c>
      <c r="F200" s="92">
        <f>AVERAGE(F3:F182)</f>
        <v>17.37414999999999</v>
      </c>
      <c r="G200" s="92">
        <f>AVERAGE(G3:G182)</f>
        <v>68.287566669892158</v>
      </c>
    </row>
    <row r="201" spans="4:8" ht="15" customHeight="1" x14ac:dyDescent="0.45">
      <c r="D201" t="s">
        <v>273</v>
      </c>
      <c r="F201" s="92">
        <f>AVERAGE(F199,F198)</f>
        <v>26.782499999999999</v>
      </c>
      <c r="G201" t="s">
        <v>12</v>
      </c>
    </row>
    <row r="202" spans="4:8" ht="15.75" customHeight="1" x14ac:dyDescent="0.45">
      <c r="D202" t="s">
        <v>12</v>
      </c>
      <c r="E202" t="s">
        <v>12</v>
      </c>
      <c r="F202" s="7"/>
    </row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J44"/>
  <sheetViews>
    <sheetView showGridLines="0" topLeftCell="B1" zoomScale="80" zoomScaleNormal="80" workbookViewId="0">
      <selection activeCell="B1" sqref="B1"/>
    </sheetView>
  </sheetViews>
  <sheetFormatPr baseColWidth="10" defaultColWidth="11.3984375" defaultRowHeight="13.9" x14ac:dyDescent="0.4"/>
  <cols>
    <col min="1" max="1" width="2.73046875" style="9" customWidth="1"/>
    <col min="2" max="2" width="23.398437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8.265625" style="9" customWidth="1"/>
    <col min="9" max="9" width="3.265625" style="9" customWidth="1"/>
    <col min="10" max="10" width="6.73046875" style="9" customWidth="1"/>
    <col min="11" max="16384" width="11.3984375" style="9"/>
  </cols>
  <sheetData>
    <row r="1" spans="2:10" s="37" customFormat="1" ht="18.95" customHeight="1" x14ac:dyDescent="0.5">
      <c r="B1" s="33" t="s">
        <v>361</v>
      </c>
      <c r="C1" s="34" t="s">
        <v>0</v>
      </c>
      <c r="D1" s="35" t="s">
        <v>19</v>
      </c>
      <c r="E1" s="36" t="s">
        <v>264</v>
      </c>
      <c r="G1" s="164"/>
      <c r="H1" s="164"/>
      <c r="I1" s="164"/>
      <c r="J1" s="164"/>
    </row>
    <row r="2" spans="2:10" s="33" customFormat="1" ht="18.95" customHeight="1" x14ac:dyDescent="0.5">
      <c r="B2" s="33" t="s">
        <v>12</v>
      </c>
      <c r="C2" s="31" t="s">
        <v>3</v>
      </c>
      <c r="D2" s="31">
        <v>101</v>
      </c>
      <c r="E2" s="176">
        <f>SUM('Cuota-Pago=Saldo'!AN6)</f>
        <v>-5.1102475833886274E-4</v>
      </c>
      <c r="G2" s="164"/>
      <c r="H2" s="164"/>
      <c r="I2" s="164"/>
      <c r="J2" s="164"/>
    </row>
    <row r="3" spans="2:10" s="33" customFormat="1" ht="18.95" customHeight="1" x14ac:dyDescent="0.5">
      <c r="C3" s="31" t="s">
        <v>3</v>
      </c>
      <c r="D3" s="31">
        <v>102</v>
      </c>
      <c r="E3" s="176">
        <f>SUM('Cuota-Pago=Saldo'!AN7)</f>
        <v>-548.9045997715391</v>
      </c>
      <c r="G3" s="164"/>
      <c r="H3" s="164"/>
      <c r="I3" s="164"/>
      <c r="J3" s="164"/>
    </row>
    <row r="4" spans="2:10" s="33" customFormat="1" ht="18.95" customHeight="1" x14ac:dyDescent="0.5">
      <c r="C4" s="31" t="s">
        <v>3</v>
      </c>
      <c r="D4" s="31">
        <v>103</v>
      </c>
      <c r="E4" s="176">
        <f>SUM('Cuota-Pago=Saldo'!AN8)</f>
        <v>-354.76084204375979</v>
      </c>
      <c r="G4" s="164"/>
      <c r="H4" s="164"/>
      <c r="I4" s="164"/>
      <c r="J4" s="164"/>
    </row>
    <row r="5" spans="2:10" s="33" customFormat="1" ht="18.95" customHeight="1" x14ac:dyDescent="0.5">
      <c r="C5" s="31" t="s">
        <v>3</v>
      </c>
      <c r="D5" s="31">
        <v>104</v>
      </c>
      <c r="E5" s="176">
        <f>SUM('Cuota-Pago=Saldo'!AN9)</f>
        <v>35.698635801404578</v>
      </c>
      <c r="G5" s="164"/>
      <c r="H5" s="164"/>
      <c r="I5" s="164"/>
      <c r="J5" s="164"/>
    </row>
    <row r="6" spans="2:10" s="33" customFormat="1" ht="18.95" customHeight="1" x14ac:dyDescent="0.5">
      <c r="C6" s="31" t="s">
        <v>3</v>
      </c>
      <c r="D6" s="31">
        <v>201</v>
      </c>
      <c r="E6" s="176">
        <f>SUM('Cuota-Pago=Saldo'!AN10)</f>
        <v>-382.43598069565161</v>
      </c>
      <c r="G6" s="164"/>
      <c r="H6" s="164"/>
      <c r="I6" s="164"/>
      <c r="J6" s="164"/>
    </row>
    <row r="7" spans="2:10" s="33" customFormat="1" ht="18.95" customHeight="1" x14ac:dyDescent="0.5">
      <c r="C7" s="31" t="s">
        <v>3</v>
      </c>
      <c r="D7" s="31">
        <v>202</v>
      </c>
      <c r="E7" s="176">
        <f>SUM('Cuota-Pago=Saldo'!AN11)</f>
        <v>3.1226395729504475E-3</v>
      </c>
      <c r="G7" s="353" t="s">
        <v>308</v>
      </c>
      <c r="H7" s="353"/>
      <c r="I7" s="183">
        <v>5</v>
      </c>
      <c r="J7" s="164"/>
    </row>
    <row r="8" spans="2:10" s="33" customFormat="1" ht="18.95" customHeight="1" x14ac:dyDescent="0.5">
      <c r="C8" s="31" t="s">
        <v>3</v>
      </c>
      <c r="D8" s="31">
        <v>203</v>
      </c>
      <c r="E8" s="176">
        <f>SUM('Cuota-Pago=Saldo'!AN12)</f>
        <v>2.3448382029300774E-3</v>
      </c>
      <c r="G8" s="164"/>
      <c r="H8" s="164"/>
      <c r="I8" s="183">
        <v>15</v>
      </c>
      <c r="J8" s="164"/>
    </row>
    <row r="9" spans="2:10" s="33" customFormat="1" ht="18.95" customHeight="1" x14ac:dyDescent="0.5">
      <c r="C9" s="31" t="s">
        <v>3</v>
      </c>
      <c r="D9" s="31">
        <v>204</v>
      </c>
      <c r="E9" s="176">
        <f>SUM('Cuota-Pago=Saldo'!AN13)</f>
        <v>-1.2407547414454712E-3</v>
      </c>
      <c r="G9" s="164"/>
      <c r="H9" s="164"/>
      <c r="I9" s="183">
        <v>20</v>
      </c>
      <c r="J9" s="164"/>
    </row>
    <row r="10" spans="2:10" s="33" customFormat="1" ht="18.95" customHeight="1" x14ac:dyDescent="0.5">
      <c r="C10" s="31" t="s">
        <v>3</v>
      </c>
      <c r="D10" s="31">
        <v>301</v>
      </c>
      <c r="E10" s="176">
        <f>SUM('Cuota-Pago=Saldo'!AN14)</f>
        <v>-2960.4426613540595</v>
      </c>
      <c r="G10" s="164"/>
      <c r="H10" s="164"/>
      <c r="I10" s="164"/>
      <c r="J10" s="164"/>
    </row>
    <row r="11" spans="2:10" s="33" customFormat="1" ht="18.95" customHeight="1" x14ac:dyDescent="0.5">
      <c r="C11" s="31" t="s">
        <v>3</v>
      </c>
      <c r="D11" s="31">
        <v>302</v>
      </c>
      <c r="E11" s="176">
        <f>SUM('Cuota-Pago=Saldo'!AN15)</f>
        <v>-845.05519530695256</v>
      </c>
      <c r="G11" s="164"/>
      <c r="H11" s="164"/>
      <c r="I11" s="164"/>
      <c r="J11" s="164"/>
    </row>
    <row r="12" spans="2:10" s="33" customFormat="1" ht="18.95" customHeight="1" x14ac:dyDescent="0.5">
      <c r="C12" s="31" t="s">
        <v>3</v>
      </c>
      <c r="D12" s="31">
        <v>303</v>
      </c>
      <c r="E12" s="176">
        <f>SUM('Cuota-Pago=Saldo'!AN16)</f>
        <v>2.3635352016526667E-4</v>
      </c>
      <c r="G12" s="164"/>
      <c r="H12" s="164"/>
      <c r="I12" s="164"/>
      <c r="J12" s="164"/>
    </row>
    <row r="13" spans="2:10" s="33" customFormat="1" ht="18.95" customHeight="1" x14ac:dyDescent="0.5">
      <c r="C13" s="31" t="s">
        <v>3</v>
      </c>
      <c r="D13" s="31">
        <v>304</v>
      </c>
      <c r="E13" s="176">
        <f>SUM('Cuota-Pago=Saldo'!AN17)</f>
        <v>-431.24854468690097</v>
      </c>
      <c r="G13" s="164"/>
      <c r="H13" s="164"/>
      <c r="I13" s="164"/>
      <c r="J13" s="164"/>
    </row>
    <row r="14" spans="2:10" s="33" customFormat="1" ht="18.95" customHeight="1" x14ac:dyDescent="0.5">
      <c r="C14" s="31" t="s">
        <v>3</v>
      </c>
      <c r="D14" s="31">
        <v>401</v>
      </c>
      <c r="E14" s="176">
        <f>SUM('Cuota-Pago=Saldo'!AN18)</f>
        <v>-329.05189239453108</v>
      </c>
    </row>
    <row r="15" spans="2:10" s="33" customFormat="1" ht="18.95" customHeight="1" x14ac:dyDescent="0.5">
      <c r="C15" s="31" t="s">
        <v>3</v>
      </c>
      <c r="D15" s="31">
        <v>402</v>
      </c>
      <c r="E15" s="176">
        <f>SUM('Cuota-Pago=Saldo'!AN19)</f>
        <v>0.55935953125487003</v>
      </c>
    </row>
    <row r="16" spans="2:10" s="33" customFormat="1" ht="18.95" customHeight="1" x14ac:dyDescent="0.5">
      <c r="B16" s="182"/>
      <c r="C16" s="32" t="s">
        <v>3</v>
      </c>
      <c r="D16" s="32">
        <v>403</v>
      </c>
      <c r="E16" s="176">
        <f>SUM('Cuota-Pago=Saldo'!AN20)</f>
        <v>-2.8775468655339864E-3</v>
      </c>
    </row>
    <row r="17" spans="2:10" s="33" customFormat="1" ht="18.95" customHeight="1" x14ac:dyDescent="0.5">
      <c r="B17" s="177" t="s">
        <v>332</v>
      </c>
      <c r="C17" s="31" t="s">
        <v>3</v>
      </c>
      <c r="D17" s="31">
        <v>404</v>
      </c>
      <c r="E17" s="176">
        <f>SUM('Cuota-Pago=Saldo'!AN21)</f>
        <v>-12.377919589657949</v>
      </c>
    </row>
    <row r="18" spans="2:10" s="33" customFormat="1" ht="18.95" customHeight="1" x14ac:dyDescent="0.5">
      <c r="B18" s="352" t="s">
        <v>295</v>
      </c>
      <c r="C18" s="31" t="s">
        <v>3</v>
      </c>
      <c r="D18" s="31">
        <v>501</v>
      </c>
      <c r="E18" s="176">
        <f>SUM('Cuota-Pago=Saldo'!AN22)</f>
        <v>-409.25344865571498</v>
      </c>
    </row>
    <row r="19" spans="2:10" s="33" customFormat="1" ht="18.95" customHeight="1" x14ac:dyDescent="0.5">
      <c r="B19" s="352"/>
      <c r="C19" s="32" t="s">
        <v>3</v>
      </c>
      <c r="D19" s="31">
        <v>502</v>
      </c>
      <c r="E19" s="176">
        <f>SUM('Cuota-Pago=Saldo'!AN23)</f>
        <v>-1.886658511011774E-3</v>
      </c>
    </row>
    <row r="20" spans="2:10" s="33" customFormat="1" ht="18.95" customHeight="1" x14ac:dyDescent="0.5">
      <c r="B20" s="175">
        <f ca="1">NOW()</f>
        <v>46027.277088657407</v>
      </c>
      <c r="C20" s="31" t="s">
        <v>3</v>
      </c>
      <c r="D20" s="31">
        <v>503</v>
      </c>
      <c r="E20" s="176">
        <f>SUM('Cuota-Pago=Saldo'!AN24)</f>
        <v>330.56486860805279</v>
      </c>
    </row>
    <row r="21" spans="2:10" s="33" customFormat="1" ht="18.95" customHeight="1" x14ac:dyDescent="0.5">
      <c r="B21" s="174">
        <f ca="1">NOW()</f>
        <v>46027.277088657407</v>
      </c>
      <c r="C21" s="31" t="s">
        <v>3</v>
      </c>
      <c r="D21" s="31">
        <v>504</v>
      </c>
      <c r="E21" s="176">
        <f>SUM('Cuota-Pago=Saldo'!AN25)</f>
        <v>-5.2080636692153348E-6</v>
      </c>
      <c r="H21" s="33" t="s">
        <v>312</v>
      </c>
    </row>
    <row r="22" spans="2:10" s="33" customFormat="1" ht="18.95" customHeight="1" x14ac:dyDescent="0.5">
      <c r="B22" s="163" t="s">
        <v>284</v>
      </c>
      <c r="C22" s="38"/>
      <c r="D22" s="38"/>
      <c r="E22" s="39"/>
    </row>
    <row r="23" spans="2:10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10" s="33" customFormat="1" ht="18.95" customHeight="1" x14ac:dyDescent="0.5">
      <c r="C24" s="38"/>
      <c r="D24" s="38"/>
      <c r="E24" s="39"/>
    </row>
    <row r="25" spans="2:10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10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10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10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10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10" ht="18" customHeight="1" x14ac:dyDescent="0.35">
      <c r="B31" s="350" t="s">
        <v>329</v>
      </c>
      <c r="C31" s="350"/>
      <c r="D31" s="350"/>
      <c r="E31" s="350"/>
      <c r="F31" s="350"/>
      <c r="G31" s="350"/>
      <c r="H31" s="350"/>
      <c r="I31" s="98"/>
      <c r="J31" s="98"/>
    </row>
    <row r="32" spans="2:10" ht="18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</row>
    <row r="33" spans="2:10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</row>
    <row r="34" spans="2:10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</row>
    <row r="35" spans="2:10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</row>
    <row r="36" spans="2:10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</row>
    <row r="37" spans="2:10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</row>
    <row r="38" spans="2:10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</row>
    <row r="39" spans="2:10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</row>
    <row r="40" spans="2:10" ht="15" customHeight="1" x14ac:dyDescent="0.35">
      <c r="B40" s="98"/>
      <c r="C40" s="98"/>
      <c r="D40" s="98"/>
      <c r="E40" s="98"/>
      <c r="F40" s="98"/>
      <c r="G40" s="98"/>
      <c r="H40" s="98"/>
      <c r="I40" s="98"/>
      <c r="J40" s="98"/>
    </row>
    <row r="41" spans="2:10" ht="15" customHeight="1" x14ac:dyDescent="0.35">
      <c r="B41" s="98"/>
      <c r="C41" s="98"/>
      <c r="D41" s="98"/>
      <c r="E41" s="98"/>
      <c r="F41" s="98"/>
      <c r="G41" s="98"/>
      <c r="H41" s="98"/>
      <c r="I41" s="98"/>
      <c r="J41" s="98"/>
    </row>
    <row r="42" spans="2:10" ht="15" customHeight="1" x14ac:dyDescent="0.35">
      <c r="B42" s="98"/>
      <c r="C42" s="98"/>
      <c r="D42" s="98"/>
      <c r="E42" s="98"/>
      <c r="F42" s="98"/>
      <c r="G42" s="98"/>
      <c r="H42" s="98"/>
      <c r="I42" s="98"/>
      <c r="J42" s="98"/>
    </row>
    <row r="43" spans="2:10" ht="15" customHeight="1" x14ac:dyDescent="0.35">
      <c r="B43" s="98"/>
      <c r="C43" s="98"/>
      <c r="D43" s="98"/>
      <c r="E43" s="98"/>
      <c r="F43" s="98"/>
      <c r="G43" s="98"/>
      <c r="H43" s="98"/>
      <c r="I43" s="98"/>
      <c r="J43" s="98"/>
    </row>
    <row r="44" spans="2:10" ht="15" customHeight="1" x14ac:dyDescent="0.35">
      <c r="B44" s="91"/>
      <c r="C44" s="91"/>
      <c r="D44" s="91"/>
      <c r="E44" s="91"/>
      <c r="F44" s="91"/>
      <c r="G44" s="91"/>
      <c r="H44" s="91"/>
      <c r="I44" s="91"/>
      <c r="J44" s="91"/>
    </row>
  </sheetData>
  <mergeCells count="4">
    <mergeCell ref="B31:H38"/>
    <mergeCell ref="B23:J23"/>
    <mergeCell ref="B18:B19"/>
    <mergeCell ref="G7:H7"/>
  </mergeCells>
  <phoneticPr fontId="53" type="noConversion"/>
  <conditionalFormatting sqref="E2:E21">
    <cfRule type="cellIs" dxfId="17" priority="1" operator="between">
      <formula>0</formula>
      <formula>-0.9</formula>
    </cfRule>
    <cfRule type="cellIs" dxfId="16" priority="4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r:id="rId1"/>
  <headerFooter alignWithMargins="0">
    <oddHeader>&amp;C&amp;20&amp;KFF0000CUOTA MANTENIMIENTO - 2025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J41"/>
  <sheetViews>
    <sheetView showGridLines="0" zoomScale="80" zoomScaleNormal="80" workbookViewId="0">
      <selection activeCell="B17" sqref="B17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0" width="6.73046875" style="9" customWidth="1"/>
    <col min="11" max="11" width="6.265625" style="9" bestFit="1" customWidth="1"/>
    <col min="12" max="16384" width="11.3984375" style="9"/>
  </cols>
  <sheetData>
    <row r="1" spans="2:10" s="11" customFormat="1" ht="18.95" customHeight="1" x14ac:dyDescent="0.5">
      <c r="B1" s="33" t="str">
        <f>A!$B$1</f>
        <v>DICIEMBRE</v>
      </c>
      <c r="C1" s="34" t="s">
        <v>0</v>
      </c>
      <c r="D1" s="35" t="s">
        <v>19</v>
      </c>
      <c r="E1" s="36" t="s">
        <v>264</v>
      </c>
      <c r="F1" s="37"/>
      <c r="G1" s="169"/>
      <c r="H1" s="169"/>
      <c r="I1" s="169"/>
      <c r="J1" s="169"/>
    </row>
    <row r="2" spans="2:10" ht="18.95" customHeight="1" x14ac:dyDescent="0.5">
      <c r="B2" s="33" t="s">
        <v>12</v>
      </c>
      <c r="C2" s="31" t="s">
        <v>4</v>
      </c>
      <c r="D2" s="31">
        <v>101</v>
      </c>
      <c r="E2" s="176">
        <f>SUM('Cuota-Pago=Saldo'!AN26)</f>
        <v>1.6020177083078124E-3</v>
      </c>
      <c r="F2" s="33"/>
      <c r="G2" s="169"/>
      <c r="H2" s="169"/>
      <c r="I2" s="169"/>
      <c r="J2" s="169"/>
    </row>
    <row r="3" spans="2:10" ht="18.95" customHeight="1" x14ac:dyDescent="0.5">
      <c r="C3" s="31" t="s">
        <v>4</v>
      </c>
      <c r="D3" s="31">
        <v>102</v>
      </c>
      <c r="E3" s="176">
        <f>SUM('Cuota-Pago=Saldo'!AN27)</f>
        <v>-3402.1796474143875</v>
      </c>
      <c r="F3" s="33"/>
      <c r="G3" s="169"/>
      <c r="H3" s="169"/>
      <c r="I3" s="169"/>
      <c r="J3" s="169"/>
    </row>
    <row r="4" spans="2:10" ht="18.95" customHeight="1" x14ac:dyDescent="0.5">
      <c r="C4" s="31" t="s">
        <v>4</v>
      </c>
      <c r="D4" s="31">
        <v>103</v>
      </c>
      <c r="E4" s="176">
        <f>SUM('Cuota-Pago=Saldo'!AN28)</f>
        <v>0.46773098365162014</v>
      </c>
      <c r="F4" s="33"/>
      <c r="G4" s="169"/>
      <c r="H4" s="169"/>
      <c r="I4" s="169"/>
      <c r="J4" s="169"/>
    </row>
    <row r="5" spans="2:10" ht="18.95" customHeight="1" x14ac:dyDescent="0.5">
      <c r="C5" s="31" t="s">
        <v>4</v>
      </c>
      <c r="D5" s="31">
        <v>104</v>
      </c>
      <c r="E5" s="176">
        <f>SUM('Cuota-Pago=Saldo'!AN29)</f>
        <v>-6.8510865513815133E-2</v>
      </c>
      <c r="F5" s="33"/>
      <c r="G5" s="169"/>
      <c r="H5" s="169"/>
      <c r="I5" s="169"/>
      <c r="J5" s="169"/>
    </row>
    <row r="6" spans="2:10" s="8" customFormat="1" ht="18.95" customHeight="1" x14ac:dyDescent="0.5">
      <c r="C6" s="31" t="s">
        <v>4</v>
      </c>
      <c r="D6" s="31">
        <v>201</v>
      </c>
      <c r="E6" s="176">
        <f>SUM('Cuota-Pago=Saldo'!AN30)</f>
        <v>-881.73389753939705</v>
      </c>
      <c r="F6" s="33"/>
      <c r="G6" s="169"/>
      <c r="H6" s="169"/>
      <c r="I6" s="169"/>
      <c r="J6" s="169"/>
    </row>
    <row r="7" spans="2:10" s="8" customFormat="1" ht="18.95" customHeight="1" x14ac:dyDescent="0.5">
      <c r="C7" s="31" t="s">
        <v>4</v>
      </c>
      <c r="D7" s="31">
        <v>202</v>
      </c>
      <c r="E7" s="176">
        <f>SUM('Cuota-Pago=Saldo'!AN31)</f>
        <v>-721.12931726912757</v>
      </c>
      <c r="F7" s="33"/>
      <c r="G7" s="353" t="s">
        <v>308</v>
      </c>
      <c r="H7" s="353"/>
      <c r="I7" s="183">
        <f>SUM(A!I7)</f>
        <v>5</v>
      </c>
      <c r="J7" s="169"/>
    </row>
    <row r="8" spans="2:10" s="8" customFormat="1" ht="18.95" customHeight="1" x14ac:dyDescent="0.5">
      <c r="C8" s="31" t="s">
        <v>4</v>
      </c>
      <c r="D8" s="31">
        <v>203</v>
      </c>
      <c r="E8" s="176">
        <f>SUM('Cuota-Pago=Saldo'!AN32)</f>
        <v>-362.76507350413885</v>
      </c>
      <c r="F8" s="33"/>
      <c r="G8" s="164"/>
      <c r="H8" s="164"/>
      <c r="I8" s="183">
        <v>15</v>
      </c>
      <c r="J8" s="169"/>
    </row>
    <row r="9" spans="2:10" s="8" customFormat="1" ht="18.95" customHeight="1" x14ac:dyDescent="0.5">
      <c r="C9" s="31" t="s">
        <v>4</v>
      </c>
      <c r="D9" s="31">
        <v>204</v>
      </c>
      <c r="E9" s="176">
        <f>SUM('Cuota-Pago=Saldo'!AN33)</f>
        <v>-375.88680347472376</v>
      </c>
      <c r="F9" s="33"/>
      <c r="G9" s="164"/>
      <c r="H9" s="164"/>
      <c r="I9" s="183">
        <v>20</v>
      </c>
      <c r="J9" s="169"/>
    </row>
    <row r="10" spans="2:10" s="8" customFormat="1" ht="18.95" customHeight="1" x14ac:dyDescent="0.5">
      <c r="C10" s="31" t="s">
        <v>4</v>
      </c>
      <c r="D10" s="31">
        <v>301</v>
      </c>
      <c r="E10" s="176">
        <f>SUM('Cuota-Pago=Saldo'!AN34)</f>
        <v>-1702.4273738561437</v>
      </c>
      <c r="F10" s="33"/>
      <c r="G10" s="169"/>
      <c r="H10" s="169"/>
      <c r="I10" s="184" t="s">
        <v>12</v>
      </c>
      <c r="J10" s="169"/>
    </row>
    <row r="11" spans="2:10" s="8" customFormat="1" ht="18.95" customHeight="1" x14ac:dyDescent="0.4">
      <c r="C11" s="31" t="s">
        <v>4</v>
      </c>
      <c r="D11" s="31">
        <v>302</v>
      </c>
      <c r="E11" s="176">
        <f>SUM('Cuota-Pago=Saldo'!AN35)</f>
        <v>-1.2418761886578977E-3</v>
      </c>
      <c r="G11" s="169"/>
      <c r="H11" s="169"/>
      <c r="I11" s="169"/>
      <c r="J11" s="169"/>
    </row>
    <row r="12" spans="2:10" s="8" customFormat="1" ht="18.95" customHeight="1" x14ac:dyDescent="0.4">
      <c r="C12" s="31" t="s">
        <v>4</v>
      </c>
      <c r="D12" s="31">
        <v>303</v>
      </c>
      <c r="E12" s="176">
        <f>SUM('Cuota-Pago=Saldo'!AN36)</f>
        <v>3.2843111639806466E-3</v>
      </c>
      <c r="G12" s="169"/>
      <c r="H12" s="169"/>
      <c r="I12" s="169"/>
      <c r="J12" s="169"/>
    </row>
    <row r="13" spans="2:10" s="8" customFormat="1" ht="18.95" customHeight="1" x14ac:dyDescent="0.4">
      <c r="C13" s="31" t="s">
        <v>4</v>
      </c>
      <c r="D13" s="31">
        <v>304</v>
      </c>
      <c r="E13" s="176">
        <f>SUM('Cuota-Pago=Saldo'!AN37)</f>
        <v>-2.6942768580511256E-3</v>
      </c>
      <c r="G13" s="169"/>
      <c r="H13" s="169"/>
      <c r="I13" s="169"/>
      <c r="J13" s="169"/>
    </row>
    <row r="14" spans="2:10" s="8" customFormat="1" ht="18.95" customHeight="1" x14ac:dyDescent="0.4">
      <c r="C14" s="31" t="s">
        <v>4</v>
      </c>
      <c r="D14" s="31">
        <v>401</v>
      </c>
      <c r="E14" s="176">
        <f>SUM('Cuota-Pago=Saldo'!AN38)</f>
        <v>-487.43062559716418</v>
      </c>
    </row>
    <row r="15" spans="2:10" s="8" customFormat="1" ht="18.95" customHeight="1" x14ac:dyDescent="0.4">
      <c r="C15" s="31" t="s">
        <v>4</v>
      </c>
      <c r="D15" s="31">
        <v>402</v>
      </c>
      <c r="E15" s="176">
        <f>SUM('Cuota-Pago=Saldo'!AN39)</f>
        <v>0.93816814509773394</v>
      </c>
    </row>
    <row r="16" spans="2:10" s="8" customFormat="1" ht="18.95" customHeight="1" x14ac:dyDescent="0.4">
      <c r="C16" s="31" t="s">
        <v>4</v>
      </c>
      <c r="D16" s="32">
        <v>403</v>
      </c>
      <c r="E16" s="176">
        <f>SUM('Cuota-Pago=Saldo'!AN40)</f>
        <v>0.32614991750091349</v>
      </c>
    </row>
    <row r="17" spans="2:10" s="8" customFormat="1" ht="18.95" customHeight="1" x14ac:dyDescent="0.5">
      <c r="B17" s="177" t="s">
        <v>332</v>
      </c>
      <c r="C17" s="31" t="s">
        <v>4</v>
      </c>
      <c r="D17" s="31">
        <v>404</v>
      </c>
      <c r="E17" s="176">
        <f>SUM('Cuota-Pago=Saldo'!AN41)</f>
        <v>-415.2713642313812</v>
      </c>
    </row>
    <row r="18" spans="2:10" s="8" customFormat="1" ht="18.95" customHeight="1" x14ac:dyDescent="0.4">
      <c r="B18" s="352" t="s">
        <v>295</v>
      </c>
      <c r="C18" s="31" t="s">
        <v>4</v>
      </c>
      <c r="D18" s="31">
        <v>501</v>
      </c>
      <c r="E18" s="176">
        <f>SUM('Cuota-Pago=Saldo'!AN42)</f>
        <v>-1090.7676517183697</v>
      </c>
    </row>
    <row r="19" spans="2:10" s="8" customFormat="1" ht="18.95" customHeight="1" x14ac:dyDescent="0.4">
      <c r="B19" s="352"/>
      <c r="C19" s="31" t="s">
        <v>4</v>
      </c>
      <c r="D19" s="31">
        <v>502</v>
      </c>
      <c r="E19" s="176">
        <f>SUM('Cuota-Pago=Saldo'!AN43)</f>
        <v>-387.97182031901264</v>
      </c>
    </row>
    <row r="20" spans="2:10" s="8" customFormat="1" ht="18.95" customHeight="1" x14ac:dyDescent="0.4">
      <c r="B20" s="175">
        <f ca="1">NOW()</f>
        <v>46027.277088657407</v>
      </c>
      <c r="C20" s="31" t="s">
        <v>4</v>
      </c>
      <c r="D20" s="31">
        <v>503</v>
      </c>
      <c r="E20" s="176">
        <f>SUM('Cuota-Pago=Saldo'!AN44)</f>
        <v>-1653.2754193159171</v>
      </c>
    </row>
    <row r="21" spans="2:10" s="8" customFormat="1" ht="18.95" customHeight="1" x14ac:dyDescent="0.5">
      <c r="B21" s="174">
        <f ca="1">NOW()</f>
        <v>46027.277088657407</v>
      </c>
      <c r="C21" s="31" t="s">
        <v>4</v>
      </c>
      <c r="D21" s="31">
        <v>504</v>
      </c>
      <c r="E21" s="176">
        <f>SUM('Cuota-Pago=Saldo'!AN45)</f>
        <v>4.4036806011717999E-3</v>
      </c>
      <c r="H21" s="33" t="s">
        <v>311</v>
      </c>
    </row>
    <row r="22" spans="2:10" s="33" customFormat="1" ht="18.95" customHeight="1" x14ac:dyDescent="0.5">
      <c r="B22" s="163" t="s">
        <v>284</v>
      </c>
      <c r="C22" s="38"/>
      <c r="D22" s="38"/>
      <c r="E22" s="39"/>
    </row>
    <row r="23" spans="2:10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10" s="33" customFormat="1" ht="18.95" customHeight="1" x14ac:dyDescent="0.5">
      <c r="C24" s="38"/>
      <c r="D24" s="38"/>
      <c r="E24" s="39"/>
    </row>
    <row r="25" spans="2:10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10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10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10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10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10" ht="18" customHeight="1" x14ac:dyDescent="0.35">
      <c r="B31" s="350" t="s">
        <v>328</v>
      </c>
      <c r="C31" s="350"/>
      <c r="D31" s="350"/>
      <c r="E31" s="350"/>
      <c r="F31" s="350"/>
      <c r="G31" s="350"/>
      <c r="H31" s="350"/>
      <c r="I31" s="98"/>
      <c r="J31" s="98"/>
    </row>
    <row r="32" spans="2:10" ht="18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</row>
    <row r="33" spans="2:10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</row>
    <row r="34" spans="2:10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</row>
    <row r="35" spans="2:10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</row>
    <row r="36" spans="2:10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</row>
    <row r="37" spans="2:10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</row>
    <row r="38" spans="2:10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</row>
    <row r="39" spans="2:10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</row>
    <row r="40" spans="2:10" ht="14.25" customHeight="1" x14ac:dyDescent="0.35">
      <c r="B40" s="97"/>
      <c r="C40" s="97"/>
      <c r="D40" s="97"/>
      <c r="E40" s="97"/>
      <c r="F40" s="97"/>
      <c r="G40" s="97"/>
      <c r="H40" s="97"/>
      <c r="I40" s="97"/>
      <c r="J40" s="97"/>
    </row>
    <row r="41" spans="2:10" ht="14.25" customHeight="1" x14ac:dyDescent="0.35">
      <c r="B41" s="97"/>
      <c r="C41" s="97"/>
      <c r="D41" s="97"/>
      <c r="E41" s="97"/>
      <c r="F41" s="97"/>
      <c r="G41" s="97"/>
      <c r="H41" s="97"/>
      <c r="I41" s="97"/>
      <c r="J41" s="97"/>
    </row>
  </sheetData>
  <mergeCells count="4">
    <mergeCell ref="B23:J23"/>
    <mergeCell ref="B31:H38"/>
    <mergeCell ref="B18:B19"/>
    <mergeCell ref="G7:H7"/>
  </mergeCells>
  <conditionalFormatting sqref="E2:E21">
    <cfRule type="cellIs" dxfId="15" priority="1" operator="between">
      <formula>0</formula>
      <formula>-0.9</formula>
    </cfRule>
    <cfRule type="cellIs" dxfId="14" priority="2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r:id="rId1"/>
  <headerFooter scaleWithDoc="0">
    <oddHeader xml:space="preserve">&amp;C&amp;20&amp;KFF0000CUOTA MANTENIMIENTO - 2025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J41"/>
  <sheetViews>
    <sheetView showGridLines="0" zoomScale="80" zoomScaleNormal="80" workbookViewId="0">
      <selection activeCell="B20" sqref="B20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ht="18.95" customHeight="1" x14ac:dyDescent="0.5">
      <c r="B1" s="33" t="str">
        <f>B!$B$1</f>
        <v>DICIEMBRE</v>
      </c>
      <c r="C1" s="34" t="s">
        <v>0</v>
      </c>
      <c r="D1" s="35" t="s">
        <v>19</v>
      </c>
      <c r="E1" s="36" t="s">
        <v>264</v>
      </c>
      <c r="F1" s="37"/>
      <c r="G1" s="169"/>
      <c r="H1" s="169"/>
      <c r="I1" s="169"/>
      <c r="J1" s="169"/>
    </row>
    <row r="2" spans="2:36" ht="18.95" customHeight="1" x14ac:dyDescent="0.5">
      <c r="B2" s="33" t="s">
        <v>12</v>
      </c>
      <c r="C2" s="31" t="s">
        <v>5</v>
      </c>
      <c r="D2" s="31">
        <v>101</v>
      </c>
      <c r="E2" s="176">
        <f>SUM('Cuota-Pago=Saldo'!AN46)</f>
        <v>0.34127721166237279</v>
      </c>
      <c r="F2" s="33"/>
      <c r="G2" s="169"/>
      <c r="H2" s="169"/>
      <c r="I2" s="169"/>
      <c r="J2" s="169"/>
    </row>
    <row r="3" spans="2:36" ht="18.95" customHeight="1" x14ac:dyDescent="0.5">
      <c r="C3" s="31" t="s">
        <v>5</v>
      </c>
      <c r="D3" s="31">
        <v>102</v>
      </c>
      <c r="E3" s="176">
        <f>SUM('Cuota-Pago=Saldo'!AN47)</f>
        <v>-3.8739884757887921E-3</v>
      </c>
      <c r="F3" s="33"/>
      <c r="G3" s="169"/>
      <c r="H3" s="169"/>
      <c r="I3" s="169"/>
      <c r="J3" s="169"/>
    </row>
    <row r="4" spans="2:36" ht="18.95" customHeight="1" x14ac:dyDescent="0.5">
      <c r="C4" s="31" t="s">
        <v>5</v>
      </c>
      <c r="D4" s="31">
        <v>103</v>
      </c>
      <c r="E4" s="176">
        <f>SUM('Cuota-Pago=Saldo'!AN48)</f>
        <v>-2.7825238515220008E-3</v>
      </c>
      <c r="F4" s="33"/>
      <c r="G4" s="169"/>
      <c r="H4" s="169"/>
      <c r="I4" s="169"/>
      <c r="J4" s="169"/>
    </row>
    <row r="5" spans="2:36" ht="18.95" customHeight="1" x14ac:dyDescent="0.5">
      <c r="C5" s="31" t="s">
        <v>5</v>
      </c>
      <c r="D5" s="31">
        <v>104</v>
      </c>
      <c r="E5" s="176">
        <f>SUM('Cuota-Pago=Saldo'!AN49)</f>
        <v>-351.36497694229757</v>
      </c>
      <c r="F5" s="33"/>
      <c r="G5" s="169"/>
      <c r="H5" s="169"/>
      <c r="I5" s="169"/>
      <c r="J5" s="169"/>
    </row>
    <row r="6" spans="2:36" ht="18.95" customHeight="1" x14ac:dyDescent="0.5">
      <c r="C6" s="31" t="s">
        <v>5</v>
      </c>
      <c r="D6" s="31">
        <v>201</v>
      </c>
      <c r="E6" s="176">
        <f>SUM('Cuota-Pago=Saldo'!AN50)</f>
        <v>1.6255377282732297E-3</v>
      </c>
      <c r="F6" s="33"/>
      <c r="G6" s="169"/>
      <c r="H6" s="169"/>
      <c r="I6" s="169"/>
      <c r="J6" s="169"/>
    </row>
    <row r="7" spans="2:36" ht="18.95" customHeight="1" x14ac:dyDescent="0.5">
      <c r="C7" s="31" t="s">
        <v>5</v>
      </c>
      <c r="D7" s="31">
        <v>202</v>
      </c>
      <c r="E7" s="176">
        <f>SUM('Cuota-Pago=Saldo'!AN51)</f>
        <v>-905.0486736646418</v>
      </c>
      <c r="F7" s="33"/>
      <c r="G7" s="353" t="s">
        <v>308</v>
      </c>
      <c r="H7" s="353"/>
      <c r="I7" s="183">
        <v>5</v>
      </c>
      <c r="J7" s="169"/>
    </row>
    <row r="8" spans="2:36" ht="18.95" customHeight="1" x14ac:dyDescent="0.5">
      <c r="C8" s="31" t="s">
        <v>5</v>
      </c>
      <c r="D8" s="31">
        <v>203</v>
      </c>
      <c r="E8" s="176">
        <f>SUM('Cuota-Pago=Saldo'!AN52)</f>
        <v>5.6344867419966249E-4</v>
      </c>
      <c r="F8" s="33"/>
      <c r="G8" s="164"/>
      <c r="H8" s="164"/>
      <c r="I8" s="183">
        <v>15</v>
      </c>
      <c r="J8" s="169"/>
    </row>
    <row r="9" spans="2:36" ht="18.95" customHeight="1" x14ac:dyDescent="0.5">
      <c r="C9" s="31" t="s">
        <v>5</v>
      </c>
      <c r="D9" s="31">
        <v>204</v>
      </c>
      <c r="E9" s="176">
        <f>SUM('Cuota-Pago=Saldo'!AN53)</f>
        <v>-2.230537682294198E-3</v>
      </c>
      <c r="F9" s="33"/>
      <c r="G9" s="164"/>
      <c r="H9" s="164"/>
      <c r="I9" s="183">
        <v>20</v>
      </c>
      <c r="J9" s="169"/>
    </row>
    <row r="10" spans="2:36" ht="18.95" customHeight="1" x14ac:dyDescent="0.5">
      <c r="C10" s="31" t="s">
        <v>5</v>
      </c>
      <c r="D10" s="31">
        <v>301</v>
      </c>
      <c r="E10" s="176">
        <f>SUM('Cuota-Pago=Saldo'!AN54)</f>
        <v>0.55439759015854406</v>
      </c>
      <c r="F10" s="33"/>
      <c r="G10" s="169"/>
      <c r="H10" s="169"/>
      <c r="I10" s="169"/>
      <c r="J10" s="169"/>
    </row>
    <row r="11" spans="2:36" ht="18.95" customHeight="1" x14ac:dyDescent="0.35">
      <c r="C11" s="31" t="s">
        <v>5</v>
      </c>
      <c r="D11" s="31">
        <v>302</v>
      </c>
      <c r="E11" s="176">
        <f>SUM('Cuota-Pago=Saldo'!AN55)</f>
        <v>-1193.5408857283483</v>
      </c>
      <c r="G11" s="169"/>
      <c r="H11" s="169"/>
      <c r="I11" s="169"/>
      <c r="J11" s="169"/>
    </row>
    <row r="12" spans="2:36" ht="18.95" customHeight="1" x14ac:dyDescent="0.35">
      <c r="C12" s="31" t="s">
        <v>5</v>
      </c>
      <c r="D12" s="31">
        <v>303</v>
      </c>
      <c r="E12" s="176">
        <f>SUM('Cuota-Pago=Saldo'!AN56)</f>
        <v>-722.88685113106249</v>
      </c>
      <c r="G12" s="169"/>
      <c r="H12" s="169"/>
      <c r="I12" s="169"/>
      <c r="J12" s="169"/>
    </row>
    <row r="13" spans="2:36" ht="18.95" customHeight="1" x14ac:dyDescent="0.35">
      <c r="C13" s="31" t="s">
        <v>5</v>
      </c>
      <c r="D13" s="31">
        <v>304</v>
      </c>
      <c r="E13" s="176">
        <f>SUM('Cuota-Pago=Saldo'!AN57)</f>
        <v>3.8779883326469644E-3</v>
      </c>
      <c r="G13" s="169"/>
      <c r="H13" s="169"/>
      <c r="I13" s="169"/>
      <c r="J13" s="169"/>
    </row>
    <row r="14" spans="2:36" ht="18.95" customHeight="1" x14ac:dyDescent="0.35">
      <c r="C14" s="31" t="s">
        <v>5</v>
      </c>
      <c r="D14" s="31">
        <v>401</v>
      </c>
      <c r="E14" s="176">
        <f>SUM('Cuota-Pago=Saldo'!AN58)</f>
        <v>4.476990694683991E-3</v>
      </c>
    </row>
    <row r="15" spans="2:36" s="8" customFormat="1" ht="18.95" customHeight="1" x14ac:dyDescent="0.4">
      <c r="C15" s="31" t="s">
        <v>5</v>
      </c>
      <c r="D15" s="31">
        <v>402</v>
      </c>
      <c r="E15" s="176">
        <f>SUM('Cuota-Pago=Saldo'!AN59)</f>
        <v>-344.26532581085854</v>
      </c>
      <c r="AC15" s="9"/>
      <c r="AD15" s="9"/>
      <c r="AE15" s="9"/>
      <c r="AF15" s="9"/>
      <c r="AG15" s="9"/>
      <c r="AH15" s="9"/>
      <c r="AI15" s="9"/>
      <c r="AJ15" s="9"/>
    </row>
    <row r="16" spans="2:36" s="8" customFormat="1" ht="18.95" customHeight="1" x14ac:dyDescent="0.4">
      <c r="C16" s="31" t="s">
        <v>5</v>
      </c>
      <c r="D16" s="32">
        <v>403</v>
      </c>
      <c r="E16" s="176">
        <f>SUM('Cuota-Pago=Saldo'!AN60)</f>
        <v>-783.09832784697585</v>
      </c>
      <c r="AC16" s="9"/>
      <c r="AD16" s="9"/>
      <c r="AE16" s="9"/>
      <c r="AF16" s="9"/>
      <c r="AG16" s="9"/>
      <c r="AH16" s="9"/>
      <c r="AI16" s="9"/>
      <c r="AJ16" s="9"/>
    </row>
    <row r="17" spans="2:36" s="8" customFormat="1" ht="18.95" customHeight="1" x14ac:dyDescent="0.5">
      <c r="B17" s="177" t="s">
        <v>332</v>
      </c>
      <c r="C17" s="31" t="s">
        <v>5</v>
      </c>
      <c r="D17" s="31">
        <v>404</v>
      </c>
      <c r="E17" s="176">
        <f>SUM('Cuota-Pago=Saldo'!AN61)</f>
        <v>0.15834547706413105</v>
      </c>
      <c r="AC17" s="9"/>
      <c r="AD17" s="9"/>
      <c r="AE17" s="9"/>
      <c r="AF17" s="9"/>
      <c r="AG17" s="9"/>
      <c r="AH17" s="9"/>
      <c r="AI17" s="9"/>
      <c r="AJ17" s="9"/>
    </row>
    <row r="18" spans="2:36" s="8" customFormat="1" ht="18.95" customHeight="1" x14ac:dyDescent="0.4">
      <c r="B18" s="352" t="s">
        <v>295</v>
      </c>
      <c r="C18" s="31" t="s">
        <v>5</v>
      </c>
      <c r="D18" s="31">
        <v>501</v>
      </c>
      <c r="E18" s="176">
        <f>SUM('Cuota-Pago=Saldo'!AN62)</f>
        <v>0.99693087246095047</v>
      </c>
      <c r="AC18" s="9"/>
      <c r="AD18" s="9"/>
      <c r="AE18" s="9"/>
      <c r="AF18" s="9"/>
      <c r="AG18" s="9"/>
      <c r="AH18" s="9"/>
      <c r="AI18" s="9"/>
      <c r="AJ18" s="9"/>
    </row>
    <row r="19" spans="2:36" s="8" customFormat="1" ht="18.95" customHeight="1" x14ac:dyDescent="0.4">
      <c r="B19" s="352"/>
      <c r="C19" s="31" t="s">
        <v>5</v>
      </c>
      <c r="D19" s="31">
        <v>502</v>
      </c>
      <c r="E19" s="176">
        <f>SUM('Cuota-Pago=Saldo'!AN63)</f>
        <v>-380.08766673156452</v>
      </c>
      <c r="AC19" s="9"/>
      <c r="AD19" s="9"/>
      <c r="AE19" s="9"/>
      <c r="AF19" s="9"/>
      <c r="AG19" s="9"/>
      <c r="AH19" s="9"/>
      <c r="AI19" s="9"/>
      <c r="AJ19" s="9"/>
    </row>
    <row r="20" spans="2:36" s="8" customFormat="1" ht="18.95" customHeight="1" x14ac:dyDescent="0.4">
      <c r="B20" s="175">
        <f ca="1">NOW()</f>
        <v>46027.277088657407</v>
      </c>
      <c r="C20" s="31" t="s">
        <v>5</v>
      </c>
      <c r="D20" s="31">
        <v>503</v>
      </c>
      <c r="E20" s="176">
        <f>SUM('Cuota-Pago=Saldo'!AN64)</f>
        <v>5.9120715401945745E-3</v>
      </c>
      <c r="AC20" s="9"/>
      <c r="AD20" s="9"/>
      <c r="AE20" s="9"/>
      <c r="AF20" s="9"/>
      <c r="AG20" s="9"/>
      <c r="AH20" s="9"/>
      <c r="AI20" s="9"/>
      <c r="AJ20" s="9"/>
    </row>
    <row r="21" spans="2:36" s="8" customFormat="1" ht="18.95" customHeight="1" x14ac:dyDescent="0.5">
      <c r="B21" s="174">
        <f ca="1">NOW()</f>
        <v>46027.277088657407</v>
      </c>
      <c r="C21" s="31" t="s">
        <v>5</v>
      </c>
      <c r="D21" s="31">
        <v>504</v>
      </c>
      <c r="E21" s="176">
        <f>SUM('Cuota-Pago=Saldo'!AN65)</f>
        <v>-4.5095896064140106E-4</v>
      </c>
      <c r="H21" s="33" t="s">
        <v>311</v>
      </c>
      <c r="AC21" s="9"/>
      <c r="AD21" s="9"/>
      <c r="AE21" s="9"/>
      <c r="AF21" s="9"/>
      <c r="AG21" s="9"/>
      <c r="AH21" s="9"/>
      <c r="AI21" s="9"/>
      <c r="AJ21" s="9"/>
    </row>
    <row r="22" spans="2:36" s="33" customFormat="1" ht="18.95" customHeight="1" x14ac:dyDescent="0.5">
      <c r="B22" s="163" t="s">
        <v>284</v>
      </c>
      <c r="C22" s="38"/>
      <c r="D22" s="38"/>
      <c r="E22" s="39"/>
    </row>
    <row r="23" spans="2:36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36" s="33" customFormat="1" ht="18.95" customHeight="1" x14ac:dyDescent="0.5">
      <c r="C24" s="38"/>
      <c r="D24" s="38"/>
      <c r="E24" s="39"/>
    </row>
    <row r="25" spans="2:36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36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36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36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36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36" ht="18" customHeight="1" x14ac:dyDescent="0.35">
      <c r="B31" s="350" t="s">
        <v>327</v>
      </c>
      <c r="C31" s="350"/>
      <c r="D31" s="350"/>
      <c r="E31" s="350"/>
      <c r="F31" s="350"/>
      <c r="G31" s="350"/>
      <c r="H31" s="350"/>
      <c r="I31" s="98"/>
      <c r="J31" s="98"/>
      <c r="K31" s="91"/>
      <c r="L31" s="91"/>
      <c r="M31" s="91"/>
      <c r="N31" s="91"/>
      <c r="O31" s="91"/>
      <c r="P31" s="91"/>
    </row>
    <row r="32" spans="2:36" ht="18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  <c r="K32" s="91"/>
      <c r="L32" s="91"/>
      <c r="M32" s="91"/>
      <c r="N32" s="91"/>
      <c r="O32" s="91"/>
      <c r="P32" s="91"/>
    </row>
    <row r="33" spans="2:16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  <c r="K33" s="91"/>
      <c r="L33" s="91"/>
      <c r="M33" s="91"/>
      <c r="N33" s="91"/>
      <c r="O33" s="91"/>
      <c r="P33" s="91"/>
    </row>
    <row r="34" spans="2:16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  <c r="K34" s="91"/>
      <c r="L34" s="91"/>
      <c r="M34" s="91"/>
      <c r="N34" s="91"/>
      <c r="O34" s="91"/>
      <c r="P34" s="91"/>
    </row>
    <row r="35" spans="2:16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  <c r="K35" s="91"/>
      <c r="L35" s="91"/>
      <c r="M35" s="91"/>
      <c r="N35" s="91"/>
      <c r="O35" s="91"/>
      <c r="P35" s="91"/>
    </row>
    <row r="36" spans="2:16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  <c r="K36" s="91"/>
      <c r="L36" s="91"/>
      <c r="M36" s="91"/>
      <c r="N36" s="91"/>
      <c r="O36" s="91"/>
      <c r="P36" s="91"/>
    </row>
    <row r="37" spans="2:16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  <c r="K37" s="91"/>
      <c r="L37" s="91"/>
      <c r="M37" s="91"/>
      <c r="N37" s="91"/>
      <c r="O37" s="91"/>
      <c r="P37" s="91"/>
    </row>
    <row r="38" spans="2:16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  <c r="K38" s="91"/>
      <c r="L38" s="91"/>
      <c r="M38" s="91"/>
      <c r="N38" s="91"/>
      <c r="O38" s="91"/>
      <c r="P38" s="91"/>
    </row>
    <row r="39" spans="2:16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  <c r="K39" s="91"/>
      <c r="L39" s="91"/>
      <c r="M39" s="91"/>
      <c r="N39" s="91"/>
      <c r="O39" s="91"/>
      <c r="P39" s="91"/>
    </row>
    <row r="40" spans="2:16" ht="14.25" customHeight="1" x14ac:dyDescent="0.35">
      <c r="B40" s="98"/>
      <c r="C40" s="98"/>
      <c r="D40" s="98"/>
      <c r="E40" s="98"/>
      <c r="F40" s="98"/>
      <c r="G40" s="98"/>
      <c r="H40" s="98"/>
      <c r="I40" s="98"/>
      <c r="J40" s="98"/>
    </row>
    <row r="41" spans="2:16" ht="14.25" customHeight="1" x14ac:dyDescent="0.35">
      <c r="B41" s="98"/>
      <c r="C41" s="98"/>
      <c r="D41" s="98"/>
      <c r="E41" s="98"/>
      <c r="F41" s="98"/>
      <c r="G41" s="98"/>
      <c r="H41" s="98"/>
      <c r="I41" s="98"/>
      <c r="J41" s="98"/>
    </row>
  </sheetData>
  <mergeCells count="4">
    <mergeCell ref="B23:J23"/>
    <mergeCell ref="B31:H38"/>
    <mergeCell ref="B18:B19"/>
    <mergeCell ref="G7:H7"/>
  </mergeCells>
  <conditionalFormatting sqref="E2:E21">
    <cfRule type="cellIs" dxfId="13" priority="1" operator="between">
      <formula>0</formula>
      <formula>-0.9</formula>
    </cfRule>
    <cfRule type="cellIs" dxfId="12" priority="2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verticalDpi="0" r:id="rId1"/>
  <headerFooter>
    <oddHeader>&amp;C&amp;20&amp;KFF0000CUOTA MANTENIMIENTO - 2025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D197"/>
  <sheetViews>
    <sheetView zoomScale="85" zoomScaleNormal="85" workbookViewId="0">
      <pane xSplit="5" ySplit="2" topLeftCell="F3" activePane="bottomRight" state="frozen"/>
      <selection activeCell="B1" sqref="B1"/>
      <selection pane="topRight" activeCell="F1" sqref="F1"/>
      <selection pane="bottomLeft" activeCell="B3" sqref="B3"/>
      <selection pane="bottomRight" activeCell="R1" sqref="R1"/>
    </sheetView>
  </sheetViews>
  <sheetFormatPr baseColWidth="10" defaultRowHeight="14.65" x14ac:dyDescent="0.45"/>
  <cols>
    <col min="1" max="1" width="65.1328125" hidden="1" customWidth="1"/>
    <col min="2" max="2" width="3.3984375" bestFit="1" customWidth="1"/>
    <col min="3" max="3" width="7.1328125" style="111" bestFit="1" customWidth="1"/>
    <col min="4" max="4" width="6.265625" bestFit="1" customWidth="1"/>
    <col min="5" max="5" width="8.3984375" style="59" hidden="1" customWidth="1"/>
    <col min="6" max="18" width="8.86328125" style="6" customWidth="1"/>
    <col min="19" max="19" width="3.59765625" style="72" customWidth="1"/>
    <col min="20" max="21" width="7.265625" style="62" customWidth="1"/>
    <col min="22" max="22" width="7.265625" customWidth="1"/>
    <col min="23" max="24" width="9" customWidth="1"/>
  </cols>
  <sheetData>
    <row r="1" spans="1:26" s="6" customFormat="1" ht="27.75" customHeight="1" x14ac:dyDescent="0.45">
      <c r="C1" s="110">
        <v>2025</v>
      </c>
      <c r="E1" s="55"/>
      <c r="F1" s="56" t="s">
        <v>73</v>
      </c>
      <c r="G1" s="56" t="s">
        <v>74</v>
      </c>
      <c r="H1" s="56" t="s">
        <v>75</v>
      </c>
      <c r="I1" s="56" t="s">
        <v>76</v>
      </c>
      <c r="J1" s="56" t="s">
        <v>77</v>
      </c>
      <c r="K1" s="56" t="s">
        <v>78</v>
      </c>
      <c r="L1" s="56" t="s">
        <v>79</v>
      </c>
      <c r="M1" s="56" t="s">
        <v>80</v>
      </c>
      <c r="N1" s="56" t="s">
        <v>81</v>
      </c>
      <c r="O1" s="56" t="s">
        <v>82</v>
      </c>
      <c r="P1" s="56" t="s">
        <v>83</v>
      </c>
      <c r="Q1" s="56" t="s">
        <v>84</v>
      </c>
      <c r="R1" s="196" t="s">
        <v>316</v>
      </c>
      <c r="S1" s="79"/>
      <c r="T1" s="300" t="s">
        <v>334</v>
      </c>
      <c r="U1" s="301"/>
      <c r="V1" s="301"/>
      <c r="W1"/>
      <c r="X1"/>
      <c r="Y1"/>
      <c r="Z1"/>
    </row>
    <row r="2" spans="1:26" hidden="1" x14ac:dyDescent="0.45">
      <c r="P2" s="46" t="s">
        <v>85</v>
      </c>
      <c r="Q2" s="60">
        <v>350</v>
      </c>
    </row>
    <row r="3" spans="1:26" ht="20.100000000000001" customHeight="1" x14ac:dyDescent="0.45">
      <c r="A3" s="63" t="s">
        <v>86</v>
      </c>
      <c r="B3" s="64">
        <v>1</v>
      </c>
      <c r="C3" s="112" t="s">
        <v>3</v>
      </c>
      <c r="D3" s="65">
        <v>101</v>
      </c>
      <c r="E3" s="66">
        <v>0</v>
      </c>
      <c r="F3" s="80">
        <v>325.81</v>
      </c>
      <c r="G3" s="80">
        <v>300.58999999999997</v>
      </c>
      <c r="H3" s="80">
        <v>444.12</v>
      </c>
      <c r="I3" s="80">
        <v>366.45</v>
      </c>
      <c r="J3" s="80">
        <v>378.76</v>
      </c>
      <c r="K3" s="80">
        <f>267.47+100</f>
        <v>367.47</v>
      </c>
      <c r="L3" s="80">
        <v>364.97</v>
      </c>
      <c r="M3" s="80">
        <v>363.45</v>
      </c>
      <c r="N3" s="80">
        <v>369.18</v>
      </c>
      <c r="O3" s="80">
        <v>365.38</v>
      </c>
      <c r="P3" s="80">
        <v>375.04</v>
      </c>
      <c r="Q3" s="80">
        <v>376.95</v>
      </c>
      <c r="R3" s="83">
        <f>SUM('Cuota-Pago=Saldo'!AN6)</f>
        <v>-5.1102475833886274E-4</v>
      </c>
      <c r="T3" s="62">
        <f>COUNTIF(R3:R22,"&gt;0")</f>
        <v>6</v>
      </c>
      <c r="U3" s="67"/>
    </row>
    <row r="4" spans="1:26" ht="20.100000000000001" customHeight="1" x14ac:dyDescent="0.45">
      <c r="A4" s="63" t="s">
        <v>87</v>
      </c>
      <c r="B4" s="64">
        <v>2</v>
      </c>
      <c r="C4" s="112" t="s">
        <v>3</v>
      </c>
      <c r="D4" s="65">
        <v>102</v>
      </c>
      <c r="E4" s="66">
        <v>0</v>
      </c>
      <c r="F4" s="80">
        <v>350</v>
      </c>
      <c r="G4" s="80">
        <v>350</v>
      </c>
      <c r="H4" s="80">
        <v>350</v>
      </c>
      <c r="I4" s="80">
        <v>350</v>
      </c>
      <c r="J4" s="80">
        <v>350</v>
      </c>
      <c r="K4" s="80">
        <v>350</v>
      </c>
      <c r="L4" s="80">
        <v>350</v>
      </c>
      <c r="M4" s="80"/>
      <c r="N4" s="80">
        <v>1050</v>
      </c>
      <c r="O4" s="80">
        <v>90.5</v>
      </c>
      <c r="P4" s="80">
        <v>350</v>
      </c>
      <c r="Q4" s="80"/>
      <c r="R4" s="83">
        <f>SUM('Cuota-Pago=Saldo'!AN7)</f>
        <v>-548.9045997715391</v>
      </c>
      <c r="T4" s="62">
        <f>COUNTIF(R3:R22,"&lt;0")</f>
        <v>14</v>
      </c>
      <c r="U4" s="68"/>
    </row>
    <row r="5" spans="1:26" ht="20.100000000000001" customHeight="1" x14ac:dyDescent="0.45">
      <c r="A5" s="69" t="s">
        <v>88</v>
      </c>
      <c r="B5" s="64">
        <v>3</v>
      </c>
      <c r="C5" s="112" t="s">
        <v>3</v>
      </c>
      <c r="D5" s="65">
        <v>103</v>
      </c>
      <c r="E5" s="66">
        <v>0</v>
      </c>
      <c r="F5" s="80" t="s">
        <v>12</v>
      </c>
      <c r="G5" s="80">
        <v>700</v>
      </c>
      <c r="H5" s="80">
        <v>700</v>
      </c>
      <c r="I5" s="80"/>
      <c r="J5" s="80">
        <v>380</v>
      </c>
      <c r="K5" s="80">
        <v>370</v>
      </c>
      <c r="L5" s="80">
        <v>360</v>
      </c>
      <c r="M5" s="80">
        <v>380</v>
      </c>
      <c r="N5" s="80">
        <v>350</v>
      </c>
      <c r="O5" s="80">
        <v>350</v>
      </c>
      <c r="P5" s="80">
        <v>360</v>
      </c>
      <c r="Q5" s="80"/>
      <c r="R5" s="83">
        <f>SUM('Cuota-Pago=Saldo'!AN8)</f>
        <v>-354.76084204375979</v>
      </c>
      <c r="T5" s="62">
        <f>SUM(T3)-20</f>
        <v>-14</v>
      </c>
      <c r="U5" s="67"/>
    </row>
    <row r="6" spans="1:26" ht="20.100000000000001" customHeight="1" x14ac:dyDescent="0.45">
      <c r="A6" s="69" t="s">
        <v>89</v>
      </c>
      <c r="B6" s="64">
        <v>4</v>
      </c>
      <c r="C6" s="112" t="s">
        <v>3</v>
      </c>
      <c r="D6" s="65">
        <v>104</v>
      </c>
      <c r="E6" s="66">
        <v>0</v>
      </c>
      <c r="F6" s="80">
        <v>350</v>
      </c>
      <c r="G6" s="80">
        <v>350</v>
      </c>
      <c r="H6" s="80">
        <v>350</v>
      </c>
      <c r="I6" s="80">
        <v>350</v>
      </c>
      <c r="J6" s="80">
        <v>350</v>
      </c>
      <c r="K6" s="80">
        <v>370</v>
      </c>
      <c r="L6" s="80">
        <v>369</v>
      </c>
      <c r="M6" s="80">
        <v>400</v>
      </c>
      <c r="N6" s="80">
        <v>350</v>
      </c>
      <c r="O6" s="80">
        <v>350</v>
      </c>
      <c r="P6" s="80">
        <v>350</v>
      </c>
      <c r="Q6" s="80">
        <v>400</v>
      </c>
      <c r="R6" s="83">
        <f>SUM('Cuota-Pago=Saldo'!AN9)</f>
        <v>35.698635801404578</v>
      </c>
    </row>
    <row r="7" spans="1:26" ht="20.100000000000001" customHeight="1" x14ac:dyDescent="0.45">
      <c r="A7" s="63" t="s">
        <v>90</v>
      </c>
      <c r="B7" s="64">
        <v>5</v>
      </c>
      <c r="C7" s="112" t="s">
        <v>3</v>
      </c>
      <c r="D7" s="65">
        <v>201</v>
      </c>
      <c r="E7" s="66">
        <v>0</v>
      </c>
      <c r="F7" s="80">
        <v>332.39</v>
      </c>
      <c r="G7" s="80"/>
      <c r="H7" s="80">
        <f>500+243.76</f>
        <v>743.76</v>
      </c>
      <c r="I7" s="80">
        <v>394.03</v>
      </c>
      <c r="J7" s="80">
        <v>402.48</v>
      </c>
      <c r="K7" s="80">
        <v>411.23</v>
      </c>
      <c r="L7" s="80">
        <v>500</v>
      </c>
      <c r="M7" s="80">
        <v>275.04000000000002</v>
      </c>
      <c r="N7" s="80">
        <v>384.31</v>
      </c>
      <c r="O7" s="80">
        <v>380.43</v>
      </c>
      <c r="P7" s="80">
        <v>389.56</v>
      </c>
      <c r="Q7" s="80"/>
      <c r="R7" s="83">
        <f>SUM('Cuota-Pago=Saldo'!AN10)</f>
        <v>-382.43598069565161</v>
      </c>
      <c r="V7" s="70"/>
    </row>
    <row r="8" spans="1:26" ht="20.100000000000001" customHeight="1" x14ac:dyDescent="0.45">
      <c r="A8" s="63" t="s">
        <v>91</v>
      </c>
      <c r="B8" s="64">
        <v>6</v>
      </c>
      <c r="C8" s="112" t="s">
        <v>3</v>
      </c>
      <c r="D8" s="65">
        <v>202</v>
      </c>
      <c r="E8" s="66">
        <v>0</v>
      </c>
      <c r="F8" s="80"/>
      <c r="G8" s="80">
        <v>395.39</v>
      </c>
      <c r="H8" s="80">
        <v>387</v>
      </c>
      <c r="I8" s="80">
        <v>395</v>
      </c>
      <c r="J8" s="80">
        <v>406</v>
      </c>
      <c r="K8" s="80">
        <v>394</v>
      </c>
      <c r="L8" s="80">
        <v>386.92</v>
      </c>
      <c r="M8" s="80">
        <v>387.38</v>
      </c>
      <c r="N8" s="80">
        <v>388.25</v>
      </c>
      <c r="O8" s="80">
        <v>384.35</v>
      </c>
      <c r="P8" s="80">
        <v>400</v>
      </c>
      <c r="Q8" s="80">
        <v>381.11</v>
      </c>
      <c r="R8" s="83">
        <f>SUM('Cuota-Pago=Saldo'!AN11)</f>
        <v>3.1226395729504475E-3</v>
      </c>
    </row>
    <row r="9" spans="1:26" ht="20.100000000000001" customHeight="1" x14ac:dyDescent="0.45">
      <c r="A9" s="69" t="s">
        <v>92</v>
      </c>
      <c r="B9" s="64">
        <v>7</v>
      </c>
      <c r="C9" s="112" t="s">
        <v>3</v>
      </c>
      <c r="D9" s="65">
        <v>203</v>
      </c>
      <c r="E9" s="66">
        <v>0</v>
      </c>
      <c r="F9" s="80">
        <v>349.71</v>
      </c>
      <c r="G9" s="80">
        <v>412.37</v>
      </c>
      <c r="H9" s="80">
        <v>404.67</v>
      </c>
      <c r="I9" s="80">
        <v>409.08</v>
      </c>
      <c r="J9" s="80">
        <v>424.65</v>
      </c>
      <c r="K9" s="80">
        <v>416.84</v>
      </c>
      <c r="L9" s="80">
        <v>418.53</v>
      </c>
      <c r="M9" s="80">
        <v>393.92</v>
      </c>
      <c r="N9" s="80">
        <v>400.89</v>
      </c>
      <c r="O9" s="80">
        <v>396.95</v>
      </c>
      <c r="P9" s="80">
        <v>415.32</v>
      </c>
      <c r="Q9" s="80">
        <v>390.61</v>
      </c>
      <c r="R9" s="83">
        <f>SUM('Cuota-Pago=Saldo'!AN12)</f>
        <v>2.3448382029300774E-3</v>
      </c>
    </row>
    <row r="10" spans="1:26" ht="20.100000000000001" customHeight="1" x14ac:dyDescent="0.45">
      <c r="A10" s="69" t="s">
        <v>93</v>
      </c>
      <c r="B10" s="64">
        <v>8</v>
      </c>
      <c r="C10" s="112" t="s">
        <v>3</v>
      </c>
      <c r="D10" s="65">
        <v>204</v>
      </c>
      <c r="E10" s="66">
        <v>0</v>
      </c>
      <c r="F10" s="80">
        <v>332.03</v>
      </c>
      <c r="G10" s="80">
        <v>381.33</v>
      </c>
      <c r="H10" s="80">
        <v>371.59</v>
      </c>
      <c r="I10" s="80">
        <v>368.16</v>
      </c>
      <c r="J10" s="80">
        <v>400.77</v>
      </c>
      <c r="K10" s="81">
        <v>381.45</v>
      </c>
      <c r="L10" s="80">
        <v>373.7</v>
      </c>
      <c r="M10" s="80">
        <v>373.67</v>
      </c>
      <c r="N10" s="80">
        <v>401.89</v>
      </c>
      <c r="O10" s="80">
        <v>397.54</v>
      </c>
      <c r="P10" s="80">
        <v>363.68</v>
      </c>
      <c r="Q10" s="80">
        <v>356.32</v>
      </c>
      <c r="R10" s="83">
        <f>SUM('Cuota-Pago=Saldo'!AN13)</f>
        <v>-1.2407547414454712E-3</v>
      </c>
    </row>
    <row r="11" spans="1:26" ht="20.100000000000001" customHeight="1" x14ac:dyDescent="0.45">
      <c r="A11" s="63" t="s">
        <v>94</v>
      </c>
      <c r="B11" s="64">
        <v>9</v>
      </c>
      <c r="C11" s="112" t="s">
        <v>3</v>
      </c>
      <c r="D11" s="65">
        <v>301</v>
      </c>
      <c r="E11" s="66">
        <v>0</v>
      </c>
      <c r="F11" s="81" t="s">
        <v>12</v>
      </c>
      <c r="G11" s="81"/>
      <c r="H11" s="81">
        <f>795.26-31.57</f>
        <v>763.68999999999994</v>
      </c>
      <c r="I11" s="81">
        <v>400</v>
      </c>
      <c r="J11" s="81">
        <v>400</v>
      </c>
      <c r="K11" s="81"/>
      <c r="L11" s="81"/>
      <c r="M11" s="81"/>
      <c r="N11" s="81"/>
      <c r="O11" s="81"/>
      <c r="P11" s="81"/>
      <c r="Q11" s="81"/>
      <c r="R11" s="83">
        <f>SUM('Cuota-Pago=Saldo'!AN14)</f>
        <v>-2960.4426613540595</v>
      </c>
      <c r="S11" s="72" t="s">
        <v>12</v>
      </c>
      <c r="T11" s="82"/>
      <c r="U11" s="82"/>
      <c r="V11" s="82"/>
      <c r="W11" s="82"/>
    </row>
    <row r="12" spans="1:26" ht="20.100000000000001" customHeight="1" x14ac:dyDescent="0.45">
      <c r="A12" s="63" t="s">
        <v>95</v>
      </c>
      <c r="B12" s="64">
        <v>10</v>
      </c>
      <c r="C12" s="112" t="s">
        <v>3</v>
      </c>
      <c r="D12" s="65">
        <v>302</v>
      </c>
      <c r="E12" s="66">
        <v>0</v>
      </c>
      <c r="F12" s="80"/>
      <c r="G12" s="81">
        <v>700</v>
      </c>
      <c r="H12" s="81"/>
      <c r="I12" s="81"/>
      <c r="J12" s="81">
        <v>1283.96</v>
      </c>
      <c r="K12" s="81">
        <v>500</v>
      </c>
      <c r="L12" s="81">
        <v>325.68</v>
      </c>
      <c r="M12" s="81"/>
      <c r="N12" s="81"/>
      <c r="O12" s="81">
        <v>1237.1600000000001</v>
      </c>
      <c r="P12" s="81"/>
      <c r="Q12" s="81"/>
      <c r="R12" s="83">
        <f>SUM('Cuota-Pago=Saldo'!AN15)</f>
        <v>-845.05519530695256</v>
      </c>
      <c r="T12" s="82"/>
      <c r="U12" s="82"/>
      <c r="V12" s="82"/>
      <c r="W12" s="82"/>
    </row>
    <row r="13" spans="1:26" ht="20.100000000000001" customHeight="1" x14ac:dyDescent="0.45">
      <c r="A13" s="63" t="s">
        <v>96</v>
      </c>
      <c r="B13" s="64">
        <v>11</v>
      </c>
      <c r="C13" s="112" t="s">
        <v>3</v>
      </c>
      <c r="D13" s="65">
        <v>303</v>
      </c>
      <c r="E13" s="66">
        <v>0</v>
      </c>
      <c r="F13" s="81">
        <v>327.71</v>
      </c>
      <c r="G13" s="81">
        <v>371.91</v>
      </c>
      <c r="H13" s="81">
        <v>415.51</v>
      </c>
      <c r="I13" s="81">
        <v>389.56</v>
      </c>
      <c r="J13" s="81">
        <v>398.88</v>
      </c>
      <c r="K13" s="81">
        <v>398.43</v>
      </c>
      <c r="L13" s="81">
        <v>396.53</v>
      </c>
      <c r="M13" s="81">
        <v>376.59</v>
      </c>
      <c r="N13" s="81">
        <v>376.24</v>
      </c>
      <c r="O13" s="81">
        <v>372.4</v>
      </c>
      <c r="P13" s="81">
        <v>385.92</v>
      </c>
      <c r="Q13" s="81">
        <v>386.83</v>
      </c>
      <c r="R13" s="83">
        <f>SUM('Cuota-Pago=Saldo'!AN16)</f>
        <v>2.3635352016526667E-4</v>
      </c>
      <c r="T13" s="82"/>
      <c r="U13" s="82"/>
      <c r="V13" s="82"/>
      <c r="W13" s="82"/>
    </row>
    <row r="14" spans="1:26" ht="20.100000000000001" customHeight="1" x14ac:dyDescent="0.45">
      <c r="A14" s="69" t="s">
        <v>97</v>
      </c>
      <c r="B14" s="64">
        <v>12</v>
      </c>
      <c r="C14" s="112" t="s">
        <v>3</v>
      </c>
      <c r="D14" s="65">
        <v>304</v>
      </c>
      <c r="E14" s="66">
        <v>0</v>
      </c>
      <c r="F14" s="80">
        <v>327.14999999999998</v>
      </c>
      <c r="G14" s="81">
        <v>361.67</v>
      </c>
      <c r="H14" s="81">
        <v>382.02</v>
      </c>
      <c r="I14" s="81">
        <v>367.61</v>
      </c>
      <c r="J14" s="81">
        <v>379.14</v>
      </c>
      <c r="K14" s="81">
        <v>353.82</v>
      </c>
      <c r="L14" s="81">
        <v>383.92</v>
      </c>
      <c r="M14" s="81">
        <v>385.31</v>
      </c>
      <c r="N14" s="81">
        <v>377.64</v>
      </c>
      <c r="O14" s="81"/>
      <c r="P14" s="81">
        <v>806.19</v>
      </c>
      <c r="Q14" s="81"/>
      <c r="R14" s="83">
        <f>SUM('Cuota-Pago=Saldo'!AN17)</f>
        <v>-431.24854468690097</v>
      </c>
      <c r="T14" s="82"/>
      <c r="U14" s="82"/>
      <c r="V14" s="82"/>
      <c r="W14" s="82"/>
    </row>
    <row r="15" spans="1:26" ht="20.100000000000001" customHeight="1" x14ac:dyDescent="0.45">
      <c r="A15" s="63" t="s">
        <v>98</v>
      </c>
      <c r="B15" s="64">
        <v>13</v>
      </c>
      <c r="C15" s="112" t="s">
        <v>3</v>
      </c>
      <c r="D15" s="65">
        <v>401</v>
      </c>
      <c r="E15" s="66">
        <v>0</v>
      </c>
      <c r="F15" s="80"/>
      <c r="G15" s="81"/>
      <c r="H15" s="81" t="s">
        <v>12</v>
      </c>
      <c r="I15" s="81">
        <v>750</v>
      </c>
      <c r="J15" s="81"/>
      <c r="K15" s="81">
        <v>500</v>
      </c>
      <c r="L15" s="81">
        <v>600</v>
      </c>
      <c r="M15" s="81"/>
      <c r="N15" s="81"/>
      <c r="O15" s="81"/>
      <c r="P15" s="81">
        <v>1306.58</v>
      </c>
      <c r="Q15" s="81"/>
      <c r="R15" s="83">
        <f>SUM('Cuota-Pago=Saldo'!AN18)</f>
        <v>-329.05189239453108</v>
      </c>
      <c r="T15" s="82"/>
      <c r="U15" s="82"/>
      <c r="V15" s="82"/>
      <c r="W15" s="82"/>
    </row>
    <row r="16" spans="1:26" ht="20.100000000000001" customHeight="1" x14ac:dyDescent="0.45">
      <c r="A16" s="69" t="s">
        <v>99</v>
      </c>
      <c r="B16" s="64">
        <v>14</v>
      </c>
      <c r="C16" s="112" t="s">
        <v>3</v>
      </c>
      <c r="D16" s="65">
        <v>402</v>
      </c>
      <c r="E16" s="66">
        <v>0.5</v>
      </c>
      <c r="F16" s="80">
        <v>500</v>
      </c>
      <c r="G16" s="81" t="s">
        <v>12</v>
      </c>
      <c r="H16" s="81">
        <v>500</v>
      </c>
      <c r="I16" s="81">
        <v>385</v>
      </c>
      <c r="J16" s="81">
        <v>389</v>
      </c>
      <c r="K16" s="81">
        <v>374</v>
      </c>
      <c r="L16" s="81">
        <v>371</v>
      </c>
      <c r="M16" s="81">
        <v>353.5</v>
      </c>
      <c r="N16" s="81">
        <v>361</v>
      </c>
      <c r="O16" s="81">
        <v>356</v>
      </c>
      <c r="P16" s="81">
        <v>347</v>
      </c>
      <c r="Q16" s="81">
        <v>342</v>
      </c>
      <c r="R16" s="83">
        <f>SUM('Cuota-Pago=Saldo'!AN19)</f>
        <v>0.55935953125487003</v>
      </c>
      <c r="T16" s="82"/>
      <c r="U16" s="82"/>
      <c r="V16" s="82"/>
      <c r="W16" s="82"/>
    </row>
    <row r="17" spans="1:30" ht="20.100000000000001" customHeight="1" x14ac:dyDescent="0.45">
      <c r="A17" s="69" t="s">
        <v>100</v>
      </c>
      <c r="B17" s="64">
        <v>15</v>
      </c>
      <c r="C17" s="113" t="s">
        <v>3</v>
      </c>
      <c r="D17" s="71">
        <v>403</v>
      </c>
      <c r="E17" s="66">
        <v>0</v>
      </c>
      <c r="F17" s="80">
        <v>326.42</v>
      </c>
      <c r="G17" s="81">
        <v>361.67</v>
      </c>
      <c r="H17" s="81">
        <v>366.36</v>
      </c>
      <c r="I17" s="81">
        <v>347.78</v>
      </c>
      <c r="J17" s="81">
        <v>380.69</v>
      </c>
      <c r="K17" s="81"/>
      <c r="L17" s="81"/>
      <c r="M17" s="81">
        <v>1106.02</v>
      </c>
      <c r="N17" s="81">
        <v>364.85</v>
      </c>
      <c r="O17" s="81">
        <v>183.7</v>
      </c>
      <c r="P17" s="81"/>
      <c r="Q17" s="81">
        <v>823.13</v>
      </c>
      <c r="R17" s="83">
        <f>SUM('Cuota-Pago=Saldo'!AN20)</f>
        <v>-2.8775468655339864E-3</v>
      </c>
      <c r="T17" s="82"/>
      <c r="U17" s="82"/>
      <c r="V17" s="82"/>
      <c r="W17" s="82"/>
    </row>
    <row r="18" spans="1:30" ht="20.100000000000001" customHeight="1" x14ac:dyDescent="0.45">
      <c r="A18" s="69" t="s">
        <v>101</v>
      </c>
      <c r="B18" s="64">
        <v>16</v>
      </c>
      <c r="C18" s="112" t="s">
        <v>3</v>
      </c>
      <c r="D18" s="65">
        <v>404</v>
      </c>
      <c r="E18" s="66">
        <v>0</v>
      </c>
      <c r="F18" s="80">
        <v>320</v>
      </c>
      <c r="G18" s="81">
        <f>50+320</f>
        <v>370</v>
      </c>
      <c r="H18" s="81">
        <f>60+320</f>
        <v>380</v>
      </c>
      <c r="I18" s="81">
        <f>70+280</f>
        <v>350</v>
      </c>
      <c r="J18" s="81">
        <f>310+100+50</f>
        <v>460</v>
      </c>
      <c r="K18" s="81">
        <f>70+310</f>
        <v>380</v>
      </c>
      <c r="L18" s="81">
        <f>70+320</f>
        <v>390</v>
      </c>
      <c r="M18" s="81">
        <f>45+320</f>
        <v>365</v>
      </c>
      <c r="N18" s="81"/>
      <c r="O18" s="81">
        <v>640</v>
      </c>
      <c r="P18" s="81">
        <v>80</v>
      </c>
      <c r="Q18" s="81">
        <f>640+80</f>
        <v>720</v>
      </c>
      <c r="R18" s="83">
        <f>SUM('Cuota-Pago=Saldo'!AN21)</f>
        <v>-12.377919589657949</v>
      </c>
      <c r="T18" s="82"/>
      <c r="U18" s="82"/>
      <c r="V18" s="82"/>
      <c r="W18" s="82"/>
    </row>
    <row r="19" spans="1:30" ht="20.100000000000001" customHeight="1" x14ac:dyDescent="0.45">
      <c r="A19" s="69" t="s">
        <v>102</v>
      </c>
      <c r="B19" s="64">
        <v>17</v>
      </c>
      <c r="C19" s="112" t="s">
        <v>3</v>
      </c>
      <c r="D19" s="65">
        <v>501</v>
      </c>
      <c r="E19" s="66">
        <v>0</v>
      </c>
      <c r="F19" s="80">
        <v>343</v>
      </c>
      <c r="G19" s="81">
        <v>386</v>
      </c>
      <c r="H19" s="81">
        <v>388</v>
      </c>
      <c r="I19" s="81">
        <v>394</v>
      </c>
      <c r="J19" s="81">
        <v>427</v>
      </c>
      <c r="K19" s="81"/>
      <c r="L19" s="81">
        <v>816</v>
      </c>
      <c r="M19" s="81">
        <v>409</v>
      </c>
      <c r="N19" s="81">
        <v>402</v>
      </c>
      <c r="O19" s="81"/>
      <c r="P19" s="81">
        <v>810</v>
      </c>
      <c r="Q19" s="81"/>
      <c r="R19" s="83">
        <f>SUM('Cuota-Pago=Saldo'!AN22)</f>
        <v>-409.25344865571498</v>
      </c>
      <c r="T19" s="82"/>
      <c r="U19" s="82"/>
      <c r="V19" s="82"/>
      <c r="W19" s="82"/>
    </row>
    <row r="20" spans="1:30" ht="20.100000000000001" customHeight="1" x14ac:dyDescent="0.45">
      <c r="A20" s="69" t="s">
        <v>103</v>
      </c>
      <c r="B20" s="64">
        <v>18</v>
      </c>
      <c r="C20" s="113" t="s">
        <v>3</v>
      </c>
      <c r="D20" s="65">
        <v>502</v>
      </c>
      <c r="E20" s="66">
        <v>0</v>
      </c>
      <c r="F20" s="80">
        <v>348.03</v>
      </c>
      <c r="G20" s="81">
        <v>443.2</v>
      </c>
      <c r="H20" s="81">
        <v>468.66</v>
      </c>
      <c r="I20" s="81">
        <v>485.74</v>
      </c>
      <c r="J20" s="81">
        <v>496.04</v>
      </c>
      <c r="K20" s="81">
        <v>461.33</v>
      </c>
      <c r="L20" s="81">
        <v>482.22</v>
      </c>
      <c r="M20" s="81">
        <f>458.89+97.5</f>
        <v>556.39</v>
      </c>
      <c r="N20" s="81">
        <v>522.19000000000005</v>
      </c>
      <c r="O20" s="81">
        <v>360.19</v>
      </c>
      <c r="P20" s="81">
        <v>467.8</v>
      </c>
      <c r="Q20" s="81">
        <v>447.95</v>
      </c>
      <c r="R20" s="83">
        <f>SUM('Cuota-Pago=Saldo'!AN23)</f>
        <v>-1.886658511011774E-3</v>
      </c>
      <c r="T20" s="82"/>
      <c r="U20" s="82"/>
      <c r="V20" s="82"/>
      <c r="W20" s="82"/>
    </row>
    <row r="21" spans="1:30" ht="20.100000000000001" customHeight="1" x14ac:dyDescent="0.45">
      <c r="A21" s="69" t="s">
        <v>104</v>
      </c>
      <c r="B21" s="64">
        <v>19</v>
      </c>
      <c r="C21" s="112" t="s">
        <v>3</v>
      </c>
      <c r="D21" s="65">
        <v>503</v>
      </c>
      <c r="E21" s="66">
        <v>0</v>
      </c>
      <c r="F21" s="80">
        <v>350</v>
      </c>
      <c r="G21" s="81">
        <v>350</v>
      </c>
      <c r="H21" s="81">
        <f>350+100</f>
        <v>450</v>
      </c>
      <c r="I21" s="81">
        <v>400</v>
      </c>
      <c r="J21" s="81">
        <v>400</v>
      </c>
      <c r="K21" s="80">
        <v>400</v>
      </c>
      <c r="L21" s="81">
        <v>450</v>
      </c>
      <c r="M21" s="81">
        <v>450</v>
      </c>
      <c r="N21" s="81">
        <v>450</v>
      </c>
      <c r="O21" s="81">
        <v>450</v>
      </c>
      <c r="P21" s="81">
        <v>450</v>
      </c>
      <c r="Q21" s="81">
        <v>450</v>
      </c>
      <c r="R21" s="83">
        <f>SUM('Cuota-Pago=Saldo'!AN24)</f>
        <v>330.56486860805279</v>
      </c>
      <c r="T21" s="82"/>
      <c r="U21" s="82"/>
      <c r="V21" s="82"/>
      <c r="W21" s="82"/>
    </row>
    <row r="22" spans="1:30" ht="20.100000000000001" customHeight="1" x14ac:dyDescent="0.45">
      <c r="A22" s="69" t="s">
        <v>105</v>
      </c>
      <c r="B22" s="64">
        <v>20</v>
      </c>
      <c r="C22" s="112" t="s">
        <v>3</v>
      </c>
      <c r="D22" s="65">
        <v>504</v>
      </c>
      <c r="E22" s="66">
        <v>0</v>
      </c>
      <c r="F22" s="80">
        <v>314.82</v>
      </c>
      <c r="G22" s="81">
        <v>326.63</v>
      </c>
      <c r="H22" s="81">
        <v>330.42</v>
      </c>
      <c r="I22" s="81">
        <v>321.95999999999998</v>
      </c>
      <c r="J22" s="81">
        <v>345.39</v>
      </c>
      <c r="K22" s="81">
        <v>339.58</v>
      </c>
      <c r="L22" s="81">
        <v>336.86</v>
      </c>
      <c r="M22" s="81">
        <v>331.85</v>
      </c>
      <c r="N22" s="81">
        <v>327.29000000000002</v>
      </c>
      <c r="O22" s="81">
        <v>323.67</v>
      </c>
      <c r="P22" s="81">
        <v>338.22</v>
      </c>
      <c r="Q22" s="81">
        <v>333.98</v>
      </c>
      <c r="R22" s="83">
        <f>SUM('Cuota-Pago=Saldo'!AN25)</f>
        <v>-5.2080636692153348E-6</v>
      </c>
      <c r="T22" s="82"/>
      <c r="U22" s="82"/>
      <c r="V22" s="82"/>
      <c r="W22" s="82"/>
    </row>
    <row r="23" spans="1:30" ht="20.100000000000001" customHeight="1" x14ac:dyDescent="0.45">
      <c r="A23" s="63" t="s">
        <v>106</v>
      </c>
      <c r="B23" s="84">
        <v>1</v>
      </c>
      <c r="C23" s="112" t="s">
        <v>4</v>
      </c>
      <c r="D23" s="65">
        <v>101</v>
      </c>
      <c r="E23" s="66">
        <v>0</v>
      </c>
      <c r="F23" s="80">
        <v>328.91</v>
      </c>
      <c r="G23" s="80">
        <v>359.7</v>
      </c>
      <c r="H23" s="80">
        <v>373.73</v>
      </c>
      <c r="I23" s="80">
        <v>363.82</v>
      </c>
      <c r="J23" s="80">
        <v>377.46</v>
      </c>
      <c r="K23" s="80">
        <v>361.67</v>
      </c>
      <c r="L23" s="80"/>
      <c r="M23" s="80">
        <v>726.09</v>
      </c>
      <c r="N23" s="80">
        <v>361.23</v>
      </c>
      <c r="O23" s="80">
        <v>357.45</v>
      </c>
      <c r="P23" s="80">
        <v>364.1</v>
      </c>
      <c r="Q23" s="80">
        <v>356.3</v>
      </c>
      <c r="R23" s="83">
        <f>SUM('Cuota-Pago=Saldo'!AN26)</f>
        <v>1.6020177083078124E-3</v>
      </c>
      <c r="T23" s="62">
        <f>COUNTIF(R23:R42,"&gt;0")</f>
        <v>6</v>
      </c>
      <c r="U23" s="67"/>
    </row>
    <row r="24" spans="1:30" ht="20.100000000000001" customHeight="1" x14ac:dyDescent="0.45">
      <c r="A24" s="69" t="s">
        <v>107</v>
      </c>
      <c r="B24" s="84">
        <v>2</v>
      </c>
      <c r="C24" s="112" t="s">
        <v>4</v>
      </c>
      <c r="D24" s="65">
        <v>102</v>
      </c>
      <c r="E24" s="66">
        <v>0</v>
      </c>
      <c r="F24" s="80"/>
      <c r="G24" s="80" t="s">
        <v>12</v>
      </c>
      <c r="H24" s="80">
        <f>1600-512.84</f>
        <v>1087.1599999999999</v>
      </c>
      <c r="I24" s="80">
        <v>542.5</v>
      </c>
      <c r="J24" s="80"/>
      <c r="K24" s="80"/>
      <c r="L24" s="80"/>
      <c r="M24" s="80"/>
      <c r="N24" s="80"/>
      <c r="O24" s="80"/>
      <c r="P24" s="80"/>
      <c r="Q24" s="80"/>
      <c r="R24" s="83">
        <f>SUM('Cuota-Pago=Saldo'!AN27)</f>
        <v>-3402.1796474143875</v>
      </c>
      <c r="T24" s="62">
        <f>COUNTIF(R23:R42,"&lt;0")</f>
        <v>14</v>
      </c>
      <c r="U24" s="68"/>
    </row>
    <row r="25" spans="1:30" ht="20.100000000000001" customHeight="1" x14ac:dyDescent="0.45">
      <c r="A25" s="69" t="s">
        <v>108</v>
      </c>
      <c r="B25" s="84">
        <v>3</v>
      </c>
      <c r="C25" s="112" t="s">
        <v>4</v>
      </c>
      <c r="D25" s="65">
        <v>103</v>
      </c>
      <c r="E25" s="66">
        <v>0</v>
      </c>
      <c r="F25" s="80">
        <v>339.93</v>
      </c>
      <c r="G25" s="80">
        <v>389.99</v>
      </c>
      <c r="H25" s="80">
        <v>406.45</v>
      </c>
      <c r="I25" s="80"/>
      <c r="J25" s="80">
        <v>780.34</v>
      </c>
      <c r="K25" s="80">
        <v>393.51</v>
      </c>
      <c r="L25" s="80">
        <v>386</v>
      </c>
      <c r="M25" s="80">
        <v>380.16</v>
      </c>
      <c r="N25" s="80">
        <v>382.15</v>
      </c>
      <c r="O25" s="80">
        <v>378.29</v>
      </c>
      <c r="P25" s="80">
        <v>401</v>
      </c>
      <c r="Q25" s="80">
        <v>397</v>
      </c>
      <c r="R25" s="83">
        <f>SUM('Cuota-Pago=Saldo'!AN28)</f>
        <v>0.46773098365162014</v>
      </c>
      <c r="T25" s="62">
        <f>SUM(T23)-20</f>
        <v>-14</v>
      </c>
      <c r="U25" s="67"/>
    </row>
    <row r="26" spans="1:30" s="61" customFormat="1" ht="20.100000000000001" customHeight="1" x14ac:dyDescent="0.45">
      <c r="A26" s="69" t="s">
        <v>109</v>
      </c>
      <c r="B26" s="84">
        <v>4</v>
      </c>
      <c r="C26" s="112" t="s">
        <v>4</v>
      </c>
      <c r="D26" s="65">
        <v>104</v>
      </c>
      <c r="E26" s="66">
        <v>0</v>
      </c>
      <c r="F26" s="80">
        <v>339.45</v>
      </c>
      <c r="G26" s="80">
        <v>383.05</v>
      </c>
      <c r="H26" s="80">
        <v>391.17</v>
      </c>
      <c r="I26" s="80">
        <v>392.12</v>
      </c>
      <c r="J26" s="80">
        <v>392.7</v>
      </c>
      <c r="K26" s="80">
        <v>396.4</v>
      </c>
      <c r="L26" s="80">
        <v>381.94</v>
      </c>
      <c r="M26" s="80">
        <v>396.77</v>
      </c>
      <c r="N26" s="80">
        <v>375.94</v>
      </c>
      <c r="O26" s="80">
        <v>372.11</v>
      </c>
      <c r="P26" s="80">
        <v>376.84</v>
      </c>
      <c r="Q26" s="80">
        <v>368.52</v>
      </c>
      <c r="R26" s="83">
        <f>SUM('Cuota-Pago=Saldo'!AN29)</f>
        <v>-6.8510865513815133E-2</v>
      </c>
      <c r="S26" s="72"/>
      <c r="T26" s="62"/>
      <c r="U26" s="62"/>
      <c r="V26"/>
      <c r="W26"/>
      <c r="X26"/>
      <c r="Y26"/>
      <c r="Z26"/>
      <c r="AA26"/>
      <c r="AB26"/>
      <c r="AC26"/>
      <c r="AD26"/>
    </row>
    <row r="27" spans="1:30" s="61" customFormat="1" ht="20.100000000000001" customHeight="1" x14ac:dyDescent="0.45">
      <c r="A27" s="63" t="s">
        <v>110</v>
      </c>
      <c r="B27" s="84">
        <v>5</v>
      </c>
      <c r="C27" s="112" t="s">
        <v>4</v>
      </c>
      <c r="D27" s="65">
        <v>201</v>
      </c>
      <c r="E27" s="66">
        <v>0</v>
      </c>
      <c r="F27" s="80">
        <f>500-1.95</f>
        <v>498.05</v>
      </c>
      <c r="G27" s="80">
        <v>150</v>
      </c>
      <c r="H27" s="80"/>
      <c r="I27" s="80"/>
      <c r="J27" s="80">
        <v>1412</v>
      </c>
      <c r="K27" s="80">
        <v>430.61</v>
      </c>
      <c r="L27" s="80">
        <v>429</v>
      </c>
      <c r="M27" s="80"/>
      <c r="N27" s="80">
        <v>863.14</v>
      </c>
      <c r="O27" s="80">
        <v>422.57</v>
      </c>
      <c r="P27" s="80"/>
      <c r="Q27" s="80"/>
      <c r="R27" s="83">
        <f>SUM('Cuota-Pago=Saldo'!AN30)</f>
        <v>-881.73389753939705</v>
      </c>
      <c r="S27" s="72"/>
      <c r="T27" s="62"/>
      <c r="U27" s="62"/>
      <c r="V27"/>
      <c r="W27"/>
      <c r="X27"/>
      <c r="Y27"/>
      <c r="Z27"/>
      <c r="AA27"/>
      <c r="AB27"/>
      <c r="AC27"/>
      <c r="AD27"/>
    </row>
    <row r="28" spans="1:30" s="61" customFormat="1" ht="20.100000000000001" customHeight="1" x14ac:dyDescent="0.45">
      <c r="A28" s="63" t="s">
        <v>111</v>
      </c>
      <c r="B28" s="84">
        <v>6</v>
      </c>
      <c r="C28" s="112" t="s">
        <v>4</v>
      </c>
      <c r="D28" s="65">
        <v>202</v>
      </c>
      <c r="E28" s="66">
        <v>0</v>
      </c>
      <c r="F28" s="80"/>
      <c r="G28" s="80">
        <v>681.9</v>
      </c>
      <c r="H28" s="80"/>
      <c r="I28" s="80">
        <v>714.13</v>
      </c>
      <c r="J28" s="80"/>
      <c r="K28" s="80">
        <v>788.83</v>
      </c>
      <c r="L28" s="80"/>
      <c r="M28" s="80">
        <v>736.07</v>
      </c>
      <c r="N28" s="80"/>
      <c r="O28" s="80">
        <v>705.39</v>
      </c>
      <c r="P28" s="80"/>
      <c r="Q28" s="80"/>
      <c r="R28" s="83">
        <f>SUM('Cuota-Pago=Saldo'!AN31)</f>
        <v>-721.12931726912757</v>
      </c>
      <c r="S28" s="72"/>
      <c r="T28" s="62"/>
      <c r="U28" s="62"/>
      <c r="V28"/>
      <c r="W28"/>
      <c r="X28"/>
      <c r="Y28"/>
      <c r="Z28"/>
      <c r="AA28"/>
      <c r="AB28"/>
      <c r="AC28"/>
      <c r="AD28"/>
    </row>
    <row r="29" spans="1:30" s="61" customFormat="1" ht="20.100000000000001" customHeight="1" x14ac:dyDescent="0.45">
      <c r="A29" s="63" t="s">
        <v>112</v>
      </c>
      <c r="B29" s="84">
        <v>7</v>
      </c>
      <c r="C29" s="112" t="s">
        <v>4</v>
      </c>
      <c r="D29" s="65">
        <v>203</v>
      </c>
      <c r="E29" s="66">
        <v>0</v>
      </c>
      <c r="F29" s="80">
        <v>354.56</v>
      </c>
      <c r="G29" s="80">
        <v>308.92</v>
      </c>
      <c r="H29" s="80">
        <v>310</v>
      </c>
      <c r="I29" s="80">
        <f>500+100</f>
        <v>600</v>
      </c>
      <c r="J29" s="80">
        <v>500</v>
      </c>
      <c r="K29" s="80">
        <v>144.43</v>
      </c>
      <c r="L29" s="80">
        <v>366.21</v>
      </c>
      <c r="M29" s="80">
        <v>406.49</v>
      </c>
      <c r="N29" s="80"/>
      <c r="O29" s="80">
        <f>100+500</f>
        <v>600</v>
      </c>
      <c r="P29" s="80">
        <f>500+52.06</f>
        <v>552.05999999999995</v>
      </c>
      <c r="Q29" s="80"/>
      <c r="R29" s="83">
        <f>SUM('Cuota-Pago=Saldo'!AN32)</f>
        <v>-362.76507350413885</v>
      </c>
      <c r="S29" s="72"/>
      <c r="T29" s="62"/>
      <c r="U29" s="62"/>
      <c r="V29"/>
      <c r="W29"/>
      <c r="X29"/>
      <c r="Y29"/>
      <c r="Z29"/>
      <c r="AA29"/>
      <c r="AB29"/>
      <c r="AC29"/>
      <c r="AD29"/>
    </row>
    <row r="30" spans="1:30" s="61" customFormat="1" ht="21.4" customHeight="1" x14ac:dyDescent="0.45">
      <c r="A30" s="69" t="s">
        <v>113</v>
      </c>
      <c r="B30" s="84">
        <v>8</v>
      </c>
      <c r="C30" s="112" t="s">
        <v>4</v>
      </c>
      <c r="D30" s="65">
        <v>204</v>
      </c>
      <c r="E30" s="66">
        <v>0</v>
      </c>
      <c r="F30" s="80">
        <v>333.82</v>
      </c>
      <c r="G30" s="80">
        <v>384.02</v>
      </c>
      <c r="H30" s="80">
        <v>376.46</v>
      </c>
      <c r="I30" s="80">
        <v>381.95</v>
      </c>
      <c r="J30" s="80">
        <v>400.4</v>
      </c>
      <c r="K30" s="80">
        <v>383.31</v>
      </c>
      <c r="L30" s="80">
        <v>379.04</v>
      </c>
      <c r="M30" s="80">
        <v>379.29</v>
      </c>
      <c r="N30" s="80">
        <v>376.6</v>
      </c>
      <c r="O30" s="80">
        <v>372.76</v>
      </c>
      <c r="P30" s="80">
        <v>380.42</v>
      </c>
      <c r="Q30" s="80"/>
      <c r="R30" s="83">
        <f>SUM('Cuota-Pago=Saldo'!AN33)</f>
        <v>-375.88680347472376</v>
      </c>
      <c r="S30" s="72"/>
      <c r="T30" s="62"/>
      <c r="U30" s="62"/>
      <c r="V30"/>
      <c r="W30"/>
      <c r="X30"/>
      <c r="Y30"/>
      <c r="Z30"/>
      <c r="AA30"/>
      <c r="AB30"/>
      <c r="AC30"/>
      <c r="AD30"/>
    </row>
    <row r="31" spans="1:30" s="61" customFormat="1" ht="20.100000000000001" customHeight="1" x14ac:dyDescent="0.45">
      <c r="A31" s="63" t="s">
        <v>114</v>
      </c>
      <c r="B31" s="84">
        <v>9</v>
      </c>
      <c r="C31" s="112" t="s">
        <v>4</v>
      </c>
      <c r="D31" s="65">
        <v>301</v>
      </c>
      <c r="E31" s="66">
        <v>0</v>
      </c>
      <c r="F31" s="80"/>
      <c r="G31" s="80">
        <v>391.66</v>
      </c>
      <c r="H31" s="80"/>
      <c r="I31" s="80"/>
      <c r="J31" s="80">
        <v>1116.8900000000001</v>
      </c>
      <c r="K31" s="80"/>
      <c r="L31" s="80"/>
      <c r="M31" s="80">
        <v>1000</v>
      </c>
      <c r="N31" s="80"/>
      <c r="O31" s="80"/>
      <c r="P31" s="80"/>
      <c r="Q31" s="80"/>
      <c r="R31" s="83">
        <f>SUM('Cuota-Pago=Saldo'!AN34)</f>
        <v>-1702.4273738561437</v>
      </c>
      <c r="S31" s="72"/>
      <c r="T31" s="62"/>
      <c r="U31" s="62"/>
      <c r="V31"/>
      <c r="W31"/>
      <c r="X31"/>
      <c r="Y31"/>
      <c r="Z31"/>
      <c r="AA31"/>
      <c r="AB31"/>
      <c r="AC31"/>
      <c r="AD31"/>
    </row>
    <row r="32" spans="1:30" s="61" customFormat="1" ht="20.100000000000001" customHeight="1" x14ac:dyDescent="0.45">
      <c r="A32" s="63" t="s">
        <v>115</v>
      </c>
      <c r="B32" s="84">
        <v>10</v>
      </c>
      <c r="C32" s="112" t="s">
        <v>4</v>
      </c>
      <c r="D32" s="65">
        <v>302</v>
      </c>
      <c r="E32" s="66">
        <v>0</v>
      </c>
      <c r="F32" s="80">
        <v>334.32</v>
      </c>
      <c r="G32" s="80">
        <v>378.76</v>
      </c>
      <c r="H32" s="80">
        <v>366.94</v>
      </c>
      <c r="I32" s="80">
        <v>378.78</v>
      </c>
      <c r="J32" s="80">
        <v>390.78</v>
      </c>
      <c r="K32" s="80">
        <v>381.7</v>
      </c>
      <c r="L32" s="80">
        <v>371.78</v>
      </c>
      <c r="M32" s="80">
        <v>373.06</v>
      </c>
      <c r="N32" s="80">
        <v>373.37</v>
      </c>
      <c r="O32" s="80">
        <v>369.55</v>
      </c>
      <c r="P32" s="80">
        <v>365.93</v>
      </c>
      <c r="Q32" s="80">
        <v>372.98</v>
      </c>
      <c r="R32" s="83">
        <f>SUM('Cuota-Pago=Saldo'!AN35)</f>
        <v>-1.2418761886578977E-3</v>
      </c>
      <c r="S32" s="72"/>
      <c r="T32" s="62"/>
      <c r="U32" s="62"/>
      <c r="V32"/>
      <c r="W32"/>
      <c r="X32"/>
      <c r="Y32"/>
      <c r="Z32"/>
      <c r="AA32"/>
      <c r="AB32"/>
      <c r="AC32"/>
      <c r="AD32"/>
    </row>
    <row r="33" spans="1:30" s="61" customFormat="1" ht="20.100000000000001" customHeight="1" x14ac:dyDescent="0.45">
      <c r="A33" s="63" t="s">
        <v>116</v>
      </c>
      <c r="B33" s="84">
        <v>11</v>
      </c>
      <c r="C33" s="112" t="s">
        <v>4</v>
      </c>
      <c r="D33" s="65">
        <v>303</v>
      </c>
      <c r="E33" s="66">
        <v>0</v>
      </c>
      <c r="F33" s="80">
        <v>320.22000000000003</v>
      </c>
      <c r="G33" s="80">
        <v>500</v>
      </c>
      <c r="H33" s="80">
        <v>247.78</v>
      </c>
      <c r="I33" s="80">
        <v>365.37</v>
      </c>
      <c r="J33" s="80">
        <v>379.23</v>
      </c>
      <c r="K33" s="80">
        <v>373.64</v>
      </c>
      <c r="L33" s="80">
        <v>500</v>
      </c>
      <c r="M33" s="80">
        <v>241.31</v>
      </c>
      <c r="N33" s="80">
        <v>374.98</v>
      </c>
      <c r="O33" s="80">
        <v>371.17</v>
      </c>
      <c r="P33" s="80">
        <v>378.15</v>
      </c>
      <c r="Q33" s="80">
        <v>374.98</v>
      </c>
      <c r="R33" s="83">
        <f>SUM('Cuota-Pago=Saldo'!AN36)</f>
        <v>3.2843111639806466E-3</v>
      </c>
      <c r="S33" s="72"/>
      <c r="T33" s="62"/>
      <c r="U33" s="62"/>
      <c r="V33"/>
      <c r="W33"/>
      <c r="X33"/>
      <c r="Y33"/>
      <c r="Z33"/>
      <c r="AA33"/>
      <c r="AB33"/>
      <c r="AC33"/>
      <c r="AD33"/>
    </row>
    <row r="34" spans="1:30" s="61" customFormat="1" ht="20.100000000000001" customHeight="1" x14ac:dyDescent="0.45">
      <c r="A34" s="63" t="s">
        <v>117</v>
      </c>
      <c r="B34" s="84">
        <v>12</v>
      </c>
      <c r="C34" s="112" t="s">
        <v>4</v>
      </c>
      <c r="D34" s="65">
        <v>304</v>
      </c>
      <c r="E34" s="66">
        <v>0</v>
      </c>
      <c r="F34" s="80">
        <v>353.37</v>
      </c>
      <c r="G34" s="80">
        <v>449.53</v>
      </c>
      <c r="H34" s="80">
        <v>445.51</v>
      </c>
      <c r="I34" s="80">
        <v>431.85</v>
      </c>
      <c r="J34" s="80">
        <v>448</v>
      </c>
      <c r="K34" s="80">
        <v>448</v>
      </c>
      <c r="L34" s="80">
        <v>410.04</v>
      </c>
      <c r="M34" s="80">
        <v>426.19</v>
      </c>
      <c r="N34" s="80">
        <v>385.24</v>
      </c>
      <c r="O34" s="80">
        <v>381.37</v>
      </c>
      <c r="P34" s="80">
        <v>416.13</v>
      </c>
      <c r="Q34" s="80">
        <v>406.8</v>
      </c>
      <c r="R34" s="83">
        <f>SUM('Cuota-Pago=Saldo'!AN37)</f>
        <v>-2.6942768580511256E-3</v>
      </c>
      <c r="S34" s="72"/>
      <c r="T34" s="62"/>
      <c r="U34" s="62"/>
      <c r="V34"/>
      <c r="W34"/>
      <c r="X34"/>
      <c r="Y34"/>
      <c r="Z34"/>
      <c r="AA34"/>
      <c r="AB34"/>
      <c r="AC34"/>
      <c r="AD34"/>
    </row>
    <row r="35" spans="1:30" s="61" customFormat="1" ht="20.100000000000001" customHeight="1" x14ac:dyDescent="0.45">
      <c r="A35" s="63" t="s">
        <v>118</v>
      </c>
      <c r="B35" s="84">
        <v>13</v>
      </c>
      <c r="C35" s="112" t="s">
        <v>4</v>
      </c>
      <c r="D35" s="65">
        <v>401</v>
      </c>
      <c r="E35" s="66">
        <v>0</v>
      </c>
      <c r="F35" s="80"/>
      <c r="G35" s="80">
        <v>800</v>
      </c>
      <c r="H35" s="80">
        <v>500</v>
      </c>
      <c r="I35" s="80">
        <v>400</v>
      </c>
      <c r="J35" s="80"/>
      <c r="K35" s="80"/>
      <c r="L35" s="80">
        <v>707</v>
      </c>
      <c r="M35" s="80">
        <v>358.34</v>
      </c>
      <c r="N35" s="80"/>
      <c r="O35" s="80"/>
      <c r="P35" s="80">
        <v>1000</v>
      </c>
      <c r="Q35" s="80"/>
      <c r="R35" s="83">
        <f>SUM('Cuota-Pago=Saldo'!AN38)</f>
        <v>-487.43062559716418</v>
      </c>
      <c r="S35" s="72"/>
      <c r="T35" s="62"/>
      <c r="U35" s="62"/>
      <c r="V35"/>
      <c r="W35"/>
      <c r="X35"/>
      <c r="Y35"/>
      <c r="Z35"/>
      <c r="AA35"/>
      <c r="AB35"/>
      <c r="AC35"/>
      <c r="AD35"/>
    </row>
    <row r="36" spans="1:30" s="61" customFormat="1" ht="20.100000000000001" customHeight="1" x14ac:dyDescent="0.45">
      <c r="A36" s="63" t="s">
        <v>119</v>
      </c>
      <c r="B36" s="84">
        <v>14</v>
      </c>
      <c r="C36" s="112" t="s">
        <v>4</v>
      </c>
      <c r="D36" s="65">
        <v>402</v>
      </c>
      <c r="E36" s="66">
        <v>0</v>
      </c>
      <c r="F36" s="80">
        <v>330</v>
      </c>
      <c r="G36" s="80">
        <v>360</v>
      </c>
      <c r="H36" s="80">
        <v>395</v>
      </c>
      <c r="I36" s="80">
        <v>390</v>
      </c>
      <c r="J36" s="80">
        <v>390</v>
      </c>
      <c r="K36" s="80">
        <v>370</v>
      </c>
      <c r="L36" s="80">
        <v>365</v>
      </c>
      <c r="M36" s="80">
        <v>370</v>
      </c>
      <c r="N36" s="80">
        <v>376</v>
      </c>
      <c r="O36" s="80">
        <v>372</v>
      </c>
      <c r="P36" s="80">
        <v>390</v>
      </c>
      <c r="Q36" s="80">
        <v>415</v>
      </c>
      <c r="R36" s="83">
        <f>SUM('Cuota-Pago=Saldo'!AN39)</f>
        <v>0.93816814509773394</v>
      </c>
      <c r="S36" s="72"/>
      <c r="T36" s="62"/>
      <c r="U36" s="62"/>
      <c r="V36"/>
      <c r="W36"/>
      <c r="X36"/>
      <c r="Y36"/>
      <c r="Z36"/>
      <c r="AA36"/>
      <c r="AB36"/>
      <c r="AC36"/>
      <c r="AD36"/>
    </row>
    <row r="37" spans="1:30" s="61" customFormat="1" ht="20.100000000000001" customHeight="1" x14ac:dyDescent="0.45">
      <c r="A37" s="69" t="s">
        <v>120</v>
      </c>
      <c r="B37" s="84">
        <v>15</v>
      </c>
      <c r="C37" s="112" t="s">
        <v>4</v>
      </c>
      <c r="D37" s="71">
        <v>403</v>
      </c>
      <c r="E37" s="66">
        <v>0</v>
      </c>
      <c r="F37" s="80">
        <v>333</v>
      </c>
      <c r="G37" s="80">
        <v>374</v>
      </c>
      <c r="H37" s="80">
        <v>378</v>
      </c>
      <c r="I37" s="80">
        <v>383</v>
      </c>
      <c r="J37" s="80">
        <v>385</v>
      </c>
      <c r="K37" s="80">
        <v>383</v>
      </c>
      <c r="L37" s="80">
        <v>325</v>
      </c>
      <c r="M37" s="80">
        <v>323</v>
      </c>
      <c r="N37" s="80">
        <v>321</v>
      </c>
      <c r="O37" s="80">
        <v>317</v>
      </c>
      <c r="P37" s="80">
        <v>323</v>
      </c>
      <c r="Q37" s="80">
        <v>321</v>
      </c>
      <c r="R37" s="83">
        <f>SUM('Cuota-Pago=Saldo'!AN40)</f>
        <v>0.32614991750091349</v>
      </c>
      <c r="S37" s="72"/>
      <c r="T37" s="62"/>
      <c r="U37" s="62"/>
      <c r="V37"/>
      <c r="W37"/>
      <c r="X37"/>
      <c r="Y37"/>
      <c r="Z37"/>
      <c r="AA37"/>
      <c r="AB37"/>
      <c r="AC37"/>
      <c r="AD37"/>
    </row>
    <row r="38" spans="1:30" s="61" customFormat="1" ht="20.100000000000001" customHeight="1" x14ac:dyDescent="0.45">
      <c r="A38" s="69" t="s">
        <v>121</v>
      </c>
      <c r="B38" s="84">
        <v>16</v>
      </c>
      <c r="C38" s="112" t="s">
        <v>4</v>
      </c>
      <c r="D38" s="65">
        <v>404</v>
      </c>
      <c r="E38" s="66">
        <v>0</v>
      </c>
      <c r="F38" s="80">
        <v>345.37</v>
      </c>
      <c r="G38" s="80">
        <v>386.16</v>
      </c>
      <c r="H38" s="80">
        <v>406.86</v>
      </c>
      <c r="I38" s="80">
        <v>417.11</v>
      </c>
      <c r="J38" s="80">
        <v>416.54</v>
      </c>
      <c r="K38" s="80">
        <v>500</v>
      </c>
      <c r="L38" s="80">
        <v>345.95</v>
      </c>
      <c r="M38" s="80">
        <v>418.65</v>
      </c>
      <c r="N38" s="80">
        <v>422.73</v>
      </c>
      <c r="O38" s="80">
        <v>418.69</v>
      </c>
      <c r="P38" s="80">
        <v>411.31</v>
      </c>
      <c r="Q38" s="80"/>
      <c r="R38" s="83">
        <f>SUM('Cuota-Pago=Saldo'!AN41)</f>
        <v>-415.2713642313812</v>
      </c>
      <c r="S38" s="72"/>
      <c r="T38" s="62"/>
      <c r="U38" s="62"/>
      <c r="V38"/>
      <c r="W38"/>
      <c r="X38"/>
      <c r="Y38"/>
      <c r="Z38"/>
      <c r="AA38"/>
      <c r="AB38"/>
      <c r="AC38"/>
      <c r="AD38"/>
    </row>
    <row r="39" spans="1:30" s="61" customFormat="1" ht="20.100000000000001" customHeight="1" x14ac:dyDescent="0.45">
      <c r="A39" s="69" t="s">
        <v>122</v>
      </c>
      <c r="B39" s="84">
        <v>17</v>
      </c>
      <c r="C39" s="112" t="s">
        <v>4</v>
      </c>
      <c r="D39" s="65">
        <v>501</v>
      </c>
      <c r="E39" s="66">
        <v>0</v>
      </c>
      <c r="F39" s="80"/>
      <c r="G39" s="80"/>
      <c r="H39" s="80">
        <v>1000</v>
      </c>
      <c r="I39" s="80">
        <v>700</v>
      </c>
      <c r="J39" s="80">
        <v>614.20000000000005</v>
      </c>
      <c r="K39" s="80">
        <v>553</v>
      </c>
      <c r="L39" s="80">
        <v>420</v>
      </c>
      <c r="M39" s="80">
        <v>900</v>
      </c>
      <c r="N39" s="80" t="s">
        <v>12</v>
      </c>
      <c r="O39" s="80">
        <v>500</v>
      </c>
      <c r="P39" s="80"/>
      <c r="Q39" s="80"/>
      <c r="R39" s="83">
        <f>SUM('Cuota-Pago=Saldo'!AN42)</f>
        <v>-1090.7676517183697</v>
      </c>
      <c r="S39" s="72"/>
      <c r="T39" s="62"/>
      <c r="U39" s="62"/>
      <c r="V39"/>
      <c r="W39"/>
      <c r="X39"/>
      <c r="Y39"/>
      <c r="Z39"/>
      <c r="AA39"/>
      <c r="AB39"/>
      <c r="AC39"/>
      <c r="AD39"/>
    </row>
    <row r="40" spans="1:30" s="61" customFormat="1" ht="20.100000000000001" customHeight="1" x14ac:dyDescent="0.45">
      <c r="A40" s="69" t="s">
        <v>123</v>
      </c>
      <c r="B40" s="84">
        <v>18</v>
      </c>
      <c r="C40" s="112" t="s">
        <v>4</v>
      </c>
      <c r="D40" s="65">
        <v>502</v>
      </c>
      <c r="E40" s="66">
        <v>0</v>
      </c>
      <c r="F40" s="80"/>
      <c r="G40" s="80">
        <v>430</v>
      </c>
      <c r="H40" s="80">
        <v>389</v>
      </c>
      <c r="I40" s="80">
        <v>480</v>
      </c>
      <c r="J40" s="80">
        <v>300</v>
      </c>
      <c r="K40" s="80">
        <v>380</v>
      </c>
      <c r="L40" s="80">
        <v>500</v>
      </c>
      <c r="M40" s="80">
        <v>450</v>
      </c>
      <c r="N40" s="80">
        <v>439</v>
      </c>
      <c r="O40" s="80">
        <v>479</v>
      </c>
      <c r="P40" s="80">
        <v>450</v>
      </c>
      <c r="Q40" s="80"/>
      <c r="R40" s="83">
        <f>SUM('Cuota-Pago=Saldo'!AN43)</f>
        <v>-387.97182031901264</v>
      </c>
      <c r="S40" s="72"/>
      <c r="T40" s="62"/>
      <c r="U40" s="62"/>
      <c r="V40"/>
      <c r="W40"/>
      <c r="X40"/>
      <c r="Y40"/>
      <c r="Z40"/>
      <c r="AA40"/>
      <c r="AB40"/>
      <c r="AC40"/>
      <c r="AD40"/>
    </row>
    <row r="41" spans="1:30" s="61" customFormat="1" ht="20.100000000000001" customHeight="1" x14ac:dyDescent="0.45">
      <c r="A41" s="69" t="s">
        <v>124</v>
      </c>
      <c r="B41" s="84">
        <v>19</v>
      </c>
      <c r="C41" s="112" t="s">
        <v>4</v>
      </c>
      <c r="D41" s="65">
        <v>503</v>
      </c>
      <c r="E41" s="66">
        <v>0</v>
      </c>
      <c r="F41" s="80">
        <v>350.25</v>
      </c>
      <c r="G41" s="80">
        <v>429.8</v>
      </c>
      <c r="H41" s="80">
        <v>420</v>
      </c>
      <c r="I41" s="80">
        <v>420</v>
      </c>
      <c r="J41" s="80">
        <v>425.1</v>
      </c>
      <c r="K41" s="80">
        <v>407.84</v>
      </c>
      <c r="L41" s="80"/>
      <c r="M41" s="80">
        <v>800</v>
      </c>
      <c r="N41" s="80"/>
      <c r="O41" s="80"/>
      <c r="P41" s="80"/>
      <c r="Q41" s="80"/>
      <c r="R41" s="83">
        <f>SUM('Cuota-Pago=Saldo'!AN44)</f>
        <v>-1653.2754193159171</v>
      </c>
      <c r="S41" s="72"/>
      <c r="T41" s="62"/>
      <c r="U41" s="62"/>
      <c r="V41"/>
      <c r="W41"/>
      <c r="X41"/>
      <c r="Y41"/>
      <c r="Z41"/>
      <c r="AA41"/>
      <c r="AB41"/>
      <c r="AC41"/>
      <c r="AD41"/>
    </row>
    <row r="42" spans="1:30" ht="20.100000000000001" customHeight="1" x14ac:dyDescent="0.45">
      <c r="A42" s="63" t="s">
        <v>125</v>
      </c>
      <c r="B42" s="84">
        <v>20</v>
      </c>
      <c r="C42" s="112" t="s">
        <v>4</v>
      </c>
      <c r="D42" s="73">
        <v>504</v>
      </c>
      <c r="E42" s="66">
        <v>0</v>
      </c>
      <c r="F42" s="80">
        <v>320.91000000000003</v>
      </c>
      <c r="G42" s="80">
        <v>346.78</v>
      </c>
      <c r="H42" s="80">
        <v>348.4</v>
      </c>
      <c r="I42" s="80">
        <v>351.43</v>
      </c>
      <c r="J42" s="80">
        <v>360.92</v>
      </c>
      <c r="K42" s="80">
        <v>350.94</v>
      </c>
      <c r="L42" s="80">
        <v>347.43</v>
      </c>
      <c r="M42" s="80">
        <v>344.12</v>
      </c>
      <c r="N42" s="80">
        <v>320.83</v>
      </c>
      <c r="O42" s="80">
        <v>317.24</v>
      </c>
      <c r="P42" s="80">
        <v>358.07</v>
      </c>
      <c r="Q42" s="80">
        <v>345.91</v>
      </c>
      <c r="R42" s="83">
        <f>SUM('Cuota-Pago=Saldo'!AN45)</f>
        <v>4.4036806011717999E-3</v>
      </c>
    </row>
    <row r="43" spans="1:30" ht="20.100000000000001" customHeight="1" x14ac:dyDescent="0.45">
      <c r="A43" s="69" t="s">
        <v>126</v>
      </c>
      <c r="B43" s="64">
        <v>1</v>
      </c>
      <c r="C43" s="112" t="s">
        <v>5</v>
      </c>
      <c r="D43" s="65">
        <v>101</v>
      </c>
      <c r="E43" s="66">
        <v>0</v>
      </c>
      <c r="F43" s="80">
        <v>300</v>
      </c>
      <c r="G43" s="80">
        <f>340+19</f>
        <v>359</v>
      </c>
      <c r="H43" s="80">
        <v>360</v>
      </c>
      <c r="I43" s="80">
        <v>347.47</v>
      </c>
      <c r="J43" s="80">
        <v>391.97</v>
      </c>
      <c r="K43" s="80">
        <v>350.62</v>
      </c>
      <c r="L43" s="80">
        <v>346.71</v>
      </c>
      <c r="M43" s="80">
        <v>344.38</v>
      </c>
      <c r="N43" s="80">
        <v>343.63</v>
      </c>
      <c r="O43" s="80">
        <v>345</v>
      </c>
      <c r="P43" s="80">
        <v>348.67</v>
      </c>
      <c r="Q43" s="80">
        <v>348</v>
      </c>
      <c r="R43" s="83">
        <f>SUM('Cuota-Pago=Saldo'!AN46)</f>
        <v>0.34127721166237279</v>
      </c>
      <c r="T43" s="62">
        <f>COUNTIF(R43:R62,"&gt;0")</f>
        <v>9</v>
      </c>
      <c r="U43" s="67"/>
    </row>
    <row r="44" spans="1:30" ht="20.100000000000001" customHeight="1" x14ac:dyDescent="0.45">
      <c r="A44" s="69" t="s">
        <v>127</v>
      </c>
      <c r="B44" s="64">
        <v>2</v>
      </c>
      <c r="C44" s="112" t="s">
        <v>5</v>
      </c>
      <c r="D44" s="65">
        <v>102</v>
      </c>
      <c r="E44" s="66">
        <v>0</v>
      </c>
      <c r="F44" s="80">
        <v>359.26</v>
      </c>
      <c r="G44" s="80">
        <v>412.42</v>
      </c>
      <c r="H44" s="80">
        <v>431.39</v>
      </c>
      <c r="I44" s="80">
        <v>411.98</v>
      </c>
      <c r="J44" s="80">
        <v>420.75</v>
      </c>
      <c r="K44" s="80">
        <v>400</v>
      </c>
      <c r="L44" s="80">
        <v>405.76</v>
      </c>
      <c r="M44" s="80">
        <v>395.83</v>
      </c>
      <c r="N44" s="80">
        <v>393.62</v>
      </c>
      <c r="O44" s="80">
        <v>389.89</v>
      </c>
      <c r="P44" s="80">
        <v>376.45</v>
      </c>
      <c r="Q44" s="80">
        <v>404.3</v>
      </c>
      <c r="R44" s="83">
        <f>SUM('Cuota-Pago=Saldo'!AN47)</f>
        <v>-3.8739884757887921E-3</v>
      </c>
      <c r="T44" s="62">
        <f>COUNTIF(R43:R62,"&lt;0")</f>
        <v>11</v>
      </c>
      <c r="U44" s="68"/>
    </row>
    <row r="45" spans="1:30" ht="20.100000000000001" customHeight="1" x14ac:dyDescent="0.45">
      <c r="A45" s="69" t="s">
        <v>128</v>
      </c>
      <c r="B45" s="64">
        <v>3</v>
      </c>
      <c r="C45" s="112" t="s">
        <v>5</v>
      </c>
      <c r="D45" s="65">
        <v>103</v>
      </c>
      <c r="E45" s="66">
        <v>0</v>
      </c>
      <c r="F45" s="80">
        <v>314.17</v>
      </c>
      <c r="G45" s="80">
        <v>334.73</v>
      </c>
      <c r="H45" s="80">
        <v>337.63</v>
      </c>
      <c r="I45" s="80">
        <v>317.52</v>
      </c>
      <c r="J45" s="80">
        <v>343.73</v>
      </c>
      <c r="K45" s="80">
        <v>329.95</v>
      </c>
      <c r="L45" s="80">
        <v>324.01</v>
      </c>
      <c r="M45" s="80">
        <v>323.14999999999998</v>
      </c>
      <c r="N45" s="80">
        <v>320.83</v>
      </c>
      <c r="O45" s="80">
        <v>317.24</v>
      </c>
      <c r="P45" s="80">
        <v>323.57</v>
      </c>
      <c r="Q45" s="80">
        <v>331.91</v>
      </c>
      <c r="R45" s="83">
        <f>SUM('Cuota-Pago=Saldo'!AN48)</f>
        <v>-2.7825238515220008E-3</v>
      </c>
      <c r="T45" s="62">
        <f>SUM(T43)-20</f>
        <v>-11</v>
      </c>
      <c r="U45" s="67"/>
    </row>
    <row r="46" spans="1:30" ht="20.100000000000001" customHeight="1" x14ac:dyDescent="0.45">
      <c r="A46" s="63" t="s">
        <v>129</v>
      </c>
      <c r="B46" s="64">
        <v>4</v>
      </c>
      <c r="C46" s="112" t="s">
        <v>5</v>
      </c>
      <c r="D46" s="65">
        <v>104</v>
      </c>
      <c r="E46" s="66">
        <v>0</v>
      </c>
      <c r="F46" s="80"/>
      <c r="G46" s="80">
        <v>500</v>
      </c>
      <c r="H46" s="80">
        <v>400</v>
      </c>
      <c r="I46" s="80"/>
      <c r="J46" s="80">
        <v>400</v>
      </c>
      <c r="K46" s="80">
        <v>500</v>
      </c>
      <c r="L46" s="80">
        <v>500</v>
      </c>
      <c r="M46" s="80">
        <v>500</v>
      </c>
      <c r="N46" s="80" t="s">
        <v>12</v>
      </c>
      <c r="O46" s="80">
        <v>500</v>
      </c>
      <c r="P46" s="80">
        <v>500</v>
      </c>
      <c r="Q46" s="80"/>
      <c r="R46" s="83">
        <f>SUM('Cuota-Pago=Saldo'!AN49)</f>
        <v>-351.36497694229757</v>
      </c>
    </row>
    <row r="47" spans="1:30" ht="20.100000000000001" customHeight="1" x14ac:dyDescent="0.45">
      <c r="A47" s="63" t="s">
        <v>130</v>
      </c>
      <c r="B47" s="64">
        <v>5</v>
      </c>
      <c r="C47" s="112" t="s">
        <v>5</v>
      </c>
      <c r="D47" s="65">
        <v>201</v>
      </c>
      <c r="E47" s="66">
        <v>0</v>
      </c>
      <c r="F47" s="80">
        <v>358.98</v>
      </c>
      <c r="G47" s="80">
        <v>406.84</v>
      </c>
      <c r="H47" s="80">
        <v>470.59</v>
      </c>
      <c r="I47" s="80">
        <v>459.34</v>
      </c>
      <c r="J47" s="80">
        <v>454.89</v>
      </c>
      <c r="K47" s="80">
        <v>432</v>
      </c>
      <c r="L47" s="80">
        <v>402.53</v>
      </c>
      <c r="M47" s="80">
        <v>395.37</v>
      </c>
      <c r="N47" s="80">
        <v>465.88</v>
      </c>
      <c r="O47" s="80">
        <v>461.64</v>
      </c>
      <c r="P47" s="80">
        <v>453.66</v>
      </c>
      <c r="Q47" s="80">
        <v>464.7</v>
      </c>
      <c r="R47" s="83">
        <f>SUM('Cuota-Pago=Saldo'!AN50)</f>
        <v>1.6255377282732297E-3</v>
      </c>
    </row>
    <row r="48" spans="1:30" ht="20.100000000000001" customHeight="1" x14ac:dyDescent="0.45">
      <c r="A48" s="69" t="s">
        <v>131</v>
      </c>
      <c r="B48" s="64">
        <v>6</v>
      </c>
      <c r="C48" s="112" t="s">
        <v>5</v>
      </c>
      <c r="D48" s="65">
        <v>202</v>
      </c>
      <c r="E48" s="66">
        <v>0</v>
      </c>
      <c r="F48" s="80">
        <v>100</v>
      </c>
      <c r="G48" s="80"/>
      <c r="H48" s="80"/>
      <c r="I48" s="80">
        <v>1200</v>
      </c>
      <c r="J48" s="80">
        <v>500</v>
      </c>
      <c r="K48" s="80">
        <v>400</v>
      </c>
      <c r="L48" s="80"/>
      <c r="M48" s="80">
        <v>1030.18</v>
      </c>
      <c r="N48" s="80">
        <v>431</v>
      </c>
      <c r="O48" s="80">
        <v>425</v>
      </c>
      <c r="P48" s="80"/>
      <c r="Q48" s="80"/>
      <c r="R48" s="83">
        <f>SUM('Cuota-Pago=Saldo'!AN51)</f>
        <v>-905.0486736646418</v>
      </c>
    </row>
    <row r="49" spans="1:22" ht="20.100000000000001" customHeight="1" x14ac:dyDescent="0.45">
      <c r="A49" s="63" t="s">
        <v>132</v>
      </c>
      <c r="B49" s="64">
        <v>7</v>
      </c>
      <c r="C49" s="112" t="s">
        <v>5</v>
      </c>
      <c r="D49" s="65">
        <v>203</v>
      </c>
      <c r="E49" s="66">
        <v>0</v>
      </c>
      <c r="F49" s="80">
        <v>340.21</v>
      </c>
      <c r="G49" s="80">
        <v>365.42</v>
      </c>
      <c r="H49" s="80">
        <v>383.16</v>
      </c>
      <c r="I49" s="80">
        <v>384.28</v>
      </c>
      <c r="J49" s="80">
        <v>389.91</v>
      </c>
      <c r="K49" s="80">
        <v>404.41</v>
      </c>
      <c r="L49" s="80">
        <v>379.27</v>
      </c>
      <c r="M49" s="80">
        <v>367.51</v>
      </c>
      <c r="N49" s="80">
        <v>375.09</v>
      </c>
      <c r="O49" s="80">
        <v>371.26</v>
      </c>
      <c r="P49" s="80">
        <v>374.99</v>
      </c>
      <c r="Q49" s="80">
        <v>370.72</v>
      </c>
      <c r="R49" s="83">
        <f>SUM('Cuota-Pago=Saldo'!AN52)</f>
        <v>5.6344867419966249E-4</v>
      </c>
    </row>
    <row r="50" spans="1:22" ht="20.100000000000001" customHeight="1" x14ac:dyDescent="0.45">
      <c r="A50" s="69" t="s">
        <v>133</v>
      </c>
      <c r="B50" s="64">
        <v>8</v>
      </c>
      <c r="C50" s="112" t="s">
        <v>5</v>
      </c>
      <c r="D50" s="65">
        <v>204</v>
      </c>
      <c r="E50" s="66">
        <v>0</v>
      </c>
      <c r="F50" s="80">
        <v>324.14999999999998</v>
      </c>
      <c r="G50" s="80"/>
      <c r="H50" s="80">
        <v>757.18</v>
      </c>
      <c r="I50" s="80"/>
      <c r="J50" s="80">
        <v>755.62</v>
      </c>
      <c r="K50" s="80"/>
      <c r="L50" s="80">
        <v>733.58</v>
      </c>
      <c r="M50" s="80"/>
      <c r="N50" s="80"/>
      <c r="O50" s="80">
        <v>1230.45</v>
      </c>
      <c r="P50" s="80">
        <v>363.46</v>
      </c>
      <c r="Q50" s="80">
        <v>367.9</v>
      </c>
      <c r="R50" s="83">
        <f>SUM('Cuota-Pago=Saldo'!AN53)</f>
        <v>-2.230537682294198E-3</v>
      </c>
    </row>
    <row r="51" spans="1:22" ht="20.100000000000001" customHeight="1" x14ac:dyDescent="0.45">
      <c r="A51" s="69" t="s">
        <v>134</v>
      </c>
      <c r="B51" s="64">
        <v>9</v>
      </c>
      <c r="C51" s="112" t="s">
        <v>5</v>
      </c>
      <c r="D51" s="65">
        <v>301</v>
      </c>
      <c r="E51" s="66">
        <v>0</v>
      </c>
      <c r="F51" s="80">
        <v>323.54000000000002</v>
      </c>
      <c r="G51" s="80">
        <v>379.98</v>
      </c>
      <c r="H51" s="80">
        <v>361.62</v>
      </c>
      <c r="I51" s="80">
        <v>363.03</v>
      </c>
      <c r="J51" s="80">
        <v>385</v>
      </c>
      <c r="K51" s="80">
        <v>359.33</v>
      </c>
      <c r="L51" s="80">
        <v>360</v>
      </c>
      <c r="M51" s="80">
        <v>361.54</v>
      </c>
      <c r="N51" s="80">
        <v>372.89</v>
      </c>
      <c r="O51" s="80">
        <v>369.06</v>
      </c>
      <c r="P51" s="80">
        <v>362.51</v>
      </c>
      <c r="Q51" s="80">
        <f>346+10</f>
        <v>356</v>
      </c>
      <c r="R51" s="83">
        <f>SUM('Cuota-Pago=Saldo'!AN54)</f>
        <v>0.55439759015854406</v>
      </c>
    </row>
    <row r="52" spans="1:22" ht="20.100000000000001" customHeight="1" x14ac:dyDescent="0.45">
      <c r="A52" s="69" t="s">
        <v>135</v>
      </c>
      <c r="B52" s="64">
        <v>10</v>
      </c>
      <c r="C52" s="112" t="s">
        <v>5</v>
      </c>
      <c r="D52" s="65">
        <v>302</v>
      </c>
      <c r="E52" s="66">
        <v>0</v>
      </c>
      <c r="F52" s="80">
        <v>335.82</v>
      </c>
      <c r="G52" s="80"/>
      <c r="H52" s="80"/>
      <c r="I52" s="80"/>
      <c r="J52" s="80">
        <v>1611.07</v>
      </c>
      <c r="K52" s="80">
        <v>389.13</v>
      </c>
      <c r="L52" s="80">
        <v>383.78</v>
      </c>
      <c r="M52" s="80">
        <v>390.25</v>
      </c>
      <c r="N52" s="80">
        <v>397.91</v>
      </c>
      <c r="O52" s="80"/>
      <c r="P52" s="80"/>
      <c r="Q52" s="80"/>
      <c r="R52" s="83">
        <f>SUM('Cuota-Pago=Saldo'!AN55)</f>
        <v>-1193.5408857283483</v>
      </c>
    </row>
    <row r="53" spans="1:22" ht="20.100000000000001" customHeight="1" x14ac:dyDescent="0.45">
      <c r="A53" s="69" t="s">
        <v>136</v>
      </c>
      <c r="B53" s="64">
        <v>11</v>
      </c>
      <c r="C53" s="112" t="s">
        <v>5</v>
      </c>
      <c r="D53" s="65">
        <v>303</v>
      </c>
      <c r="E53" s="66">
        <v>0</v>
      </c>
      <c r="F53" s="80">
        <v>322.3</v>
      </c>
      <c r="G53" s="80">
        <v>350.26</v>
      </c>
      <c r="H53" s="80">
        <v>352</v>
      </c>
      <c r="I53" s="80">
        <v>350</v>
      </c>
      <c r="J53" s="80">
        <v>381.19</v>
      </c>
      <c r="K53" s="80">
        <v>373</v>
      </c>
      <c r="L53" s="80">
        <v>383</v>
      </c>
      <c r="M53" s="80">
        <v>355.4</v>
      </c>
      <c r="N53" s="80">
        <v>351.5</v>
      </c>
      <c r="O53" s="80">
        <v>348</v>
      </c>
      <c r="P53" s="80"/>
      <c r="Q53" s="80"/>
      <c r="R53" s="83">
        <f>SUM('Cuota-Pago=Saldo'!AN56)</f>
        <v>-722.88685113106249</v>
      </c>
    </row>
    <row r="54" spans="1:22" ht="20.100000000000001" customHeight="1" x14ac:dyDescent="0.45">
      <c r="A54" s="69" t="s">
        <v>137</v>
      </c>
      <c r="B54" s="64">
        <v>12</v>
      </c>
      <c r="C54" s="112" t="s">
        <v>5</v>
      </c>
      <c r="D54" s="65">
        <v>304</v>
      </c>
      <c r="E54" s="66">
        <v>0</v>
      </c>
      <c r="F54" s="80">
        <v>328.57</v>
      </c>
      <c r="G54" s="80">
        <v>378.92</v>
      </c>
      <c r="H54" s="80">
        <v>363.36</v>
      </c>
      <c r="I54" s="80">
        <v>371.28</v>
      </c>
      <c r="J54" s="80">
        <v>389.67</v>
      </c>
      <c r="K54" s="80">
        <v>373.46</v>
      </c>
      <c r="L54" s="80">
        <v>366.26</v>
      </c>
      <c r="M54" s="80">
        <v>359.59</v>
      </c>
      <c r="N54" s="80">
        <v>370.64</v>
      </c>
      <c r="O54" s="80">
        <v>366.83</v>
      </c>
      <c r="P54" s="80">
        <v>361.33</v>
      </c>
      <c r="Q54" s="80">
        <v>362.35</v>
      </c>
      <c r="R54" s="83">
        <f>SUM('Cuota-Pago=Saldo'!AN57)</f>
        <v>3.8779883326469644E-3</v>
      </c>
    </row>
    <row r="55" spans="1:22" ht="20.100000000000001" customHeight="1" x14ac:dyDescent="0.45">
      <c r="A55" s="69" t="s">
        <v>138</v>
      </c>
      <c r="B55" s="64">
        <v>13</v>
      </c>
      <c r="C55" s="112" t="s">
        <v>5</v>
      </c>
      <c r="D55" s="65">
        <v>401</v>
      </c>
      <c r="E55" s="66">
        <v>0</v>
      </c>
      <c r="F55" s="80">
        <v>322.83</v>
      </c>
      <c r="G55" s="80">
        <v>406.27</v>
      </c>
      <c r="H55" s="80"/>
      <c r="I55" s="80">
        <v>789.92</v>
      </c>
      <c r="J55" s="80"/>
      <c r="K55" s="80">
        <v>693.7</v>
      </c>
      <c r="L55" s="80"/>
      <c r="M55" s="80">
        <v>696.83</v>
      </c>
      <c r="N55" s="80"/>
      <c r="O55" s="80">
        <v>714.59</v>
      </c>
      <c r="P55" s="80"/>
      <c r="Q55" s="80">
        <v>714.62</v>
      </c>
      <c r="R55" s="83">
        <f>SUM('Cuota-Pago=Saldo'!AN58)</f>
        <v>4.476990694683991E-3</v>
      </c>
    </row>
    <row r="56" spans="1:22" ht="20.100000000000001" customHeight="1" x14ac:dyDescent="0.45">
      <c r="A56" s="63" t="s">
        <v>139</v>
      </c>
      <c r="B56" s="64">
        <v>14</v>
      </c>
      <c r="C56" s="112" t="s">
        <v>5</v>
      </c>
      <c r="D56" s="65">
        <v>402</v>
      </c>
      <c r="E56" s="66">
        <v>0</v>
      </c>
      <c r="F56" s="80">
        <v>359.12</v>
      </c>
      <c r="G56" s="80">
        <v>342.25</v>
      </c>
      <c r="H56" s="80">
        <v>346.19</v>
      </c>
      <c r="I56" s="80">
        <v>332.65</v>
      </c>
      <c r="J56" s="80">
        <v>374.51</v>
      </c>
      <c r="K56" s="80">
        <v>337.08</v>
      </c>
      <c r="L56" s="80">
        <v>335.54</v>
      </c>
      <c r="M56" s="80">
        <v>335.18</v>
      </c>
      <c r="N56" s="80">
        <v>330.76</v>
      </c>
      <c r="O56" s="80">
        <v>327.12</v>
      </c>
      <c r="P56" s="80">
        <v>349.18</v>
      </c>
      <c r="Q56" s="80"/>
      <c r="R56" s="83">
        <f>SUM('Cuota-Pago=Saldo'!AN59)</f>
        <v>-344.26532581085854</v>
      </c>
    </row>
    <row r="57" spans="1:22" ht="20.100000000000001" customHeight="1" x14ac:dyDescent="0.45">
      <c r="A57" s="69" t="s">
        <v>310</v>
      </c>
      <c r="B57" s="64">
        <v>15</v>
      </c>
      <c r="C57" s="112" t="s">
        <v>5</v>
      </c>
      <c r="D57" s="71">
        <v>403</v>
      </c>
      <c r="E57" s="66">
        <v>0</v>
      </c>
      <c r="F57" s="80"/>
      <c r="G57" s="80">
        <v>500</v>
      </c>
      <c r="H57" s="80" t="s">
        <v>12</v>
      </c>
      <c r="I57" s="80">
        <v>600</v>
      </c>
      <c r="J57" s="80">
        <v>600</v>
      </c>
      <c r="K57" s="80"/>
      <c r="L57" s="80"/>
      <c r="M57" s="80">
        <v>1055</v>
      </c>
      <c r="N57" s="80">
        <v>353.7</v>
      </c>
      <c r="O57" s="80">
        <v>349.37</v>
      </c>
      <c r="P57" s="80"/>
      <c r="Q57" s="80"/>
      <c r="R57" s="83">
        <f>SUM('Cuota-Pago=Saldo'!AN60)</f>
        <v>-783.09832784697585</v>
      </c>
    </row>
    <row r="58" spans="1:22" ht="20.100000000000001" customHeight="1" x14ac:dyDescent="0.45">
      <c r="A58" s="69" t="s">
        <v>141</v>
      </c>
      <c r="B58" s="64">
        <v>16</v>
      </c>
      <c r="C58" s="112" t="s">
        <v>5</v>
      </c>
      <c r="D58" s="65">
        <v>404</v>
      </c>
      <c r="E58" s="66">
        <v>0</v>
      </c>
      <c r="F58" s="80">
        <v>320</v>
      </c>
      <c r="G58" s="80">
        <v>355</v>
      </c>
      <c r="H58" s="80">
        <v>372</v>
      </c>
      <c r="I58" s="80">
        <v>363</v>
      </c>
      <c r="J58" s="80">
        <v>378.5</v>
      </c>
      <c r="K58" s="80">
        <v>368</v>
      </c>
      <c r="L58" s="80">
        <v>368.5</v>
      </c>
      <c r="M58" s="80">
        <v>366.91</v>
      </c>
      <c r="N58" s="80"/>
      <c r="O58" s="80">
        <v>724</v>
      </c>
      <c r="P58" s="80">
        <v>373</v>
      </c>
      <c r="Q58" s="80">
        <v>367.5</v>
      </c>
      <c r="R58" s="83">
        <f>SUM('Cuota-Pago=Saldo'!AN61)</f>
        <v>0.15834547706413105</v>
      </c>
      <c r="S58" s="62" t="s">
        <v>12</v>
      </c>
    </row>
    <row r="59" spans="1:22" ht="20.100000000000001" customHeight="1" x14ac:dyDescent="0.45">
      <c r="A59" s="69" t="s">
        <v>142</v>
      </c>
      <c r="B59" s="64">
        <v>17</v>
      </c>
      <c r="C59" s="112" t="s">
        <v>5</v>
      </c>
      <c r="D59" s="65">
        <v>501</v>
      </c>
      <c r="E59" s="66">
        <v>0</v>
      </c>
      <c r="F59" s="80">
        <v>364.1</v>
      </c>
      <c r="G59" s="80">
        <v>539.82000000000005</v>
      </c>
      <c r="H59" s="80">
        <v>527.41</v>
      </c>
      <c r="I59" s="80">
        <v>592.64</v>
      </c>
      <c r="J59" s="80">
        <v>528.19000000000005</v>
      </c>
      <c r="K59" s="80">
        <v>379.25</v>
      </c>
      <c r="L59" s="80">
        <v>496.09</v>
      </c>
      <c r="M59" s="80">
        <v>530.74</v>
      </c>
      <c r="N59" s="80">
        <v>494.54</v>
      </c>
      <c r="O59" s="80">
        <v>490.16</v>
      </c>
      <c r="P59" s="80">
        <v>476.26</v>
      </c>
      <c r="Q59" s="80">
        <v>454.1</v>
      </c>
      <c r="R59" s="83">
        <f>SUM('Cuota-Pago=Saldo'!AN62)</f>
        <v>0.99693087246095047</v>
      </c>
      <c r="V59" t="s">
        <v>12</v>
      </c>
    </row>
    <row r="60" spans="1:22" ht="20.100000000000001" customHeight="1" x14ac:dyDescent="0.45">
      <c r="A60" s="63" t="s">
        <v>143</v>
      </c>
      <c r="B60" s="64">
        <v>18</v>
      </c>
      <c r="C60" s="112" t="s">
        <v>5</v>
      </c>
      <c r="D60" s="65">
        <v>502</v>
      </c>
      <c r="E60" s="66">
        <v>0</v>
      </c>
      <c r="F60" s="80">
        <v>356</v>
      </c>
      <c r="G60" s="80">
        <v>350</v>
      </c>
      <c r="H60" s="80">
        <v>361.34</v>
      </c>
      <c r="I60" s="80">
        <v>373.09</v>
      </c>
      <c r="J60" s="80">
        <v>389.9</v>
      </c>
      <c r="K60" s="80">
        <v>375.3</v>
      </c>
      <c r="L60" s="80">
        <v>373.44</v>
      </c>
      <c r="M60" s="80">
        <v>367.28</v>
      </c>
      <c r="N60" s="80">
        <v>379.49</v>
      </c>
      <c r="O60" s="80">
        <v>375.64</v>
      </c>
      <c r="P60" s="80">
        <v>383.88</v>
      </c>
      <c r="Q60" s="80"/>
      <c r="R60" s="83">
        <f>SUM('Cuota-Pago=Saldo'!AN63)</f>
        <v>-380.08766673156452</v>
      </c>
    </row>
    <row r="61" spans="1:22" ht="20.100000000000001" customHeight="1" x14ac:dyDescent="0.45">
      <c r="A61" s="69" t="s">
        <v>144</v>
      </c>
      <c r="B61" s="64">
        <v>19</v>
      </c>
      <c r="C61" s="112" t="s">
        <v>5</v>
      </c>
      <c r="D61" s="65">
        <v>503</v>
      </c>
      <c r="E61" s="66">
        <v>0</v>
      </c>
      <c r="F61" s="80">
        <v>500</v>
      </c>
      <c r="G61" s="80">
        <v>450</v>
      </c>
      <c r="H61" s="80">
        <v>460</v>
      </c>
      <c r="I61" s="80">
        <v>500</v>
      </c>
      <c r="J61" s="80">
        <v>500</v>
      </c>
      <c r="K61" s="80">
        <v>77</v>
      </c>
      <c r="L61" s="80">
        <f>444+98</f>
        <v>542</v>
      </c>
      <c r="M61" s="80">
        <f>338+97.3</f>
        <v>435.3</v>
      </c>
      <c r="N61" s="80">
        <v>288</v>
      </c>
      <c r="O61" s="80">
        <v>420</v>
      </c>
      <c r="P61" s="80">
        <v>428</v>
      </c>
      <c r="Q61" s="80">
        <v>454</v>
      </c>
      <c r="R61" s="83">
        <f>SUM('Cuota-Pago=Saldo'!AN64)</f>
        <v>5.9120715401945745E-3</v>
      </c>
      <c r="U61" s="68"/>
    </row>
    <row r="62" spans="1:22" ht="20.100000000000001" customHeight="1" x14ac:dyDescent="0.45">
      <c r="A62" s="74" t="s">
        <v>145</v>
      </c>
      <c r="B62" s="64">
        <v>20</v>
      </c>
      <c r="C62" s="112" t="s">
        <v>5</v>
      </c>
      <c r="D62" s="65">
        <v>504</v>
      </c>
      <c r="E62" s="66">
        <v>0</v>
      </c>
      <c r="F62" s="80">
        <v>336.6</v>
      </c>
      <c r="G62" s="80">
        <v>400.74</v>
      </c>
      <c r="H62" s="80">
        <v>401.57</v>
      </c>
      <c r="I62" s="80">
        <v>395.83</v>
      </c>
      <c r="J62" s="80">
        <v>410.72</v>
      </c>
      <c r="K62" s="80">
        <v>402.2</v>
      </c>
      <c r="L62" s="80">
        <v>395.91</v>
      </c>
      <c r="M62" s="80">
        <v>392.14</v>
      </c>
      <c r="N62" s="80">
        <v>395.05</v>
      </c>
      <c r="O62" s="80">
        <v>391.13</v>
      </c>
      <c r="P62" s="80">
        <v>388.79</v>
      </c>
      <c r="Q62" s="80">
        <v>385.51</v>
      </c>
      <c r="R62" s="83">
        <f>SUM('Cuota-Pago=Saldo'!AN65)</f>
        <v>-4.5095896064140106E-4</v>
      </c>
      <c r="U62" s="68"/>
    </row>
    <row r="63" spans="1:22" ht="20.100000000000001" customHeight="1" x14ac:dyDescent="0.45">
      <c r="A63" s="69" t="s">
        <v>146</v>
      </c>
      <c r="B63" s="84">
        <v>1</v>
      </c>
      <c r="C63" s="112" t="s">
        <v>6</v>
      </c>
      <c r="D63" s="65">
        <v>101</v>
      </c>
      <c r="E63" s="66">
        <v>0</v>
      </c>
      <c r="F63" s="80">
        <v>331.38</v>
      </c>
      <c r="G63" s="80">
        <v>389.45</v>
      </c>
      <c r="H63" s="80">
        <v>411.93</v>
      </c>
      <c r="I63" s="80">
        <v>395.24</v>
      </c>
      <c r="J63" s="80">
        <v>443.82</v>
      </c>
      <c r="K63" s="80">
        <v>401.78</v>
      </c>
      <c r="L63" s="80">
        <v>391.26</v>
      </c>
      <c r="M63" s="80">
        <v>402.23</v>
      </c>
      <c r="N63" s="80">
        <v>387.04</v>
      </c>
      <c r="O63" s="80">
        <v>383.15</v>
      </c>
      <c r="P63" s="80">
        <v>374.78</v>
      </c>
      <c r="Q63" s="80">
        <v>389.5</v>
      </c>
      <c r="R63" s="83">
        <f>SUM('Cuota-Pago=Saldo'!AN66)</f>
        <v>-4.8767690077511361E-3</v>
      </c>
      <c r="T63" s="62">
        <f>COUNTIF(R63:R82,"&gt;0")</f>
        <v>10</v>
      </c>
      <c r="U63" s="68"/>
    </row>
    <row r="64" spans="1:22" ht="20.100000000000001" customHeight="1" x14ac:dyDescent="0.45">
      <c r="A64" s="69" t="s">
        <v>147</v>
      </c>
      <c r="B64" s="84">
        <v>2</v>
      </c>
      <c r="C64" s="112" t="s">
        <v>6</v>
      </c>
      <c r="D64" s="65">
        <v>102</v>
      </c>
      <c r="E64" s="66">
        <v>0</v>
      </c>
      <c r="F64" s="80">
        <v>314.24</v>
      </c>
      <c r="G64" s="80">
        <v>402.63</v>
      </c>
      <c r="H64" s="80">
        <v>358.33</v>
      </c>
      <c r="I64" s="80">
        <v>335.85</v>
      </c>
      <c r="J64" s="80">
        <v>363.78</v>
      </c>
      <c r="K64" s="80">
        <v>354.22</v>
      </c>
      <c r="L64" s="80">
        <v>373.66</v>
      </c>
      <c r="M64" s="80">
        <v>333.4</v>
      </c>
      <c r="N64" s="80">
        <v>322.87</v>
      </c>
      <c r="O64" s="80">
        <v>319.29000000000002</v>
      </c>
      <c r="P64" s="80">
        <v>364.01</v>
      </c>
      <c r="Q64" s="80">
        <v>380.51</v>
      </c>
      <c r="R64" s="83">
        <f>SUM('Cuota-Pago=Saldo'!AN67)</f>
        <v>1.3626840463416556E-3</v>
      </c>
      <c r="T64" s="62">
        <f>COUNTIF(R63:R82,"&lt;0")</f>
        <v>10</v>
      </c>
      <c r="U64" s="68"/>
    </row>
    <row r="65" spans="1:30" ht="20.100000000000001" customHeight="1" x14ac:dyDescent="0.45">
      <c r="A65" s="69" t="s">
        <v>148</v>
      </c>
      <c r="B65" s="84">
        <v>3</v>
      </c>
      <c r="C65" s="112" t="s">
        <v>6</v>
      </c>
      <c r="D65" s="65">
        <v>103</v>
      </c>
      <c r="E65" s="66">
        <v>0</v>
      </c>
      <c r="F65" s="80" t="s">
        <v>12</v>
      </c>
      <c r="G65" s="80">
        <v>450</v>
      </c>
      <c r="H65" s="80">
        <v>369.76</v>
      </c>
      <c r="I65" s="80">
        <v>500</v>
      </c>
      <c r="J65" s="80">
        <v>250</v>
      </c>
      <c r="K65" s="80"/>
      <c r="L65" s="80">
        <f>900+100</f>
        <v>1000</v>
      </c>
      <c r="M65" s="80">
        <v>300</v>
      </c>
      <c r="N65" s="80">
        <v>500</v>
      </c>
      <c r="O65" s="80">
        <v>300</v>
      </c>
      <c r="P65" s="80"/>
      <c r="Q65" s="80"/>
      <c r="R65" s="83">
        <f>SUM('Cuota-Pago=Saldo'!AN68)</f>
        <v>-835.11771895501317</v>
      </c>
      <c r="T65" s="62">
        <f>SUM(T63)-20</f>
        <v>-10</v>
      </c>
      <c r="U65" s="67"/>
    </row>
    <row r="66" spans="1:30" ht="20.100000000000001" customHeight="1" x14ac:dyDescent="0.45">
      <c r="A66" s="69" t="s">
        <v>149</v>
      </c>
      <c r="B66" s="84">
        <v>4</v>
      </c>
      <c r="C66" s="112" t="s">
        <v>6</v>
      </c>
      <c r="D66" s="65">
        <v>104</v>
      </c>
      <c r="E66" s="66">
        <v>0</v>
      </c>
      <c r="F66" s="80">
        <v>400</v>
      </c>
      <c r="G66" s="80">
        <v>400</v>
      </c>
      <c r="H66" s="80">
        <v>300</v>
      </c>
      <c r="I66" s="80">
        <v>400</v>
      </c>
      <c r="J66" s="80">
        <v>400</v>
      </c>
      <c r="K66" s="80">
        <v>420</v>
      </c>
      <c r="L66" s="80">
        <v>400</v>
      </c>
      <c r="M66" s="80">
        <v>410</v>
      </c>
      <c r="N66" s="80">
        <v>410</v>
      </c>
      <c r="O66" s="80">
        <v>410</v>
      </c>
      <c r="P66" s="80">
        <v>430</v>
      </c>
      <c r="Q66" s="80">
        <v>450</v>
      </c>
      <c r="R66" s="83">
        <f>SUM('Cuota-Pago=Saldo'!AN69)</f>
        <v>35.979209204886729</v>
      </c>
    </row>
    <row r="67" spans="1:30" ht="20.100000000000001" customHeight="1" x14ac:dyDescent="0.45">
      <c r="A67" s="69" t="s">
        <v>315</v>
      </c>
      <c r="B67" s="84">
        <v>5</v>
      </c>
      <c r="C67" s="112" t="s">
        <v>6</v>
      </c>
      <c r="D67" s="65">
        <v>201</v>
      </c>
      <c r="E67" s="66">
        <v>0</v>
      </c>
      <c r="F67" s="80">
        <v>324.56</v>
      </c>
      <c r="G67" s="80">
        <v>359.18</v>
      </c>
      <c r="H67" s="80">
        <v>362.2</v>
      </c>
      <c r="I67" s="80">
        <v>357.67</v>
      </c>
      <c r="J67" s="80">
        <v>377.87</v>
      </c>
      <c r="K67" s="80">
        <v>362.45</v>
      </c>
      <c r="L67" s="80">
        <v>357.36</v>
      </c>
      <c r="M67" s="80">
        <v>360</v>
      </c>
      <c r="N67" s="80">
        <v>500</v>
      </c>
      <c r="O67" s="80">
        <v>187.23</v>
      </c>
      <c r="P67" s="80">
        <v>367</v>
      </c>
      <c r="Q67" s="80"/>
      <c r="R67" s="83">
        <f>SUM('Cuota-Pago=Saldo'!AN70)</f>
        <v>-369.9158720708997</v>
      </c>
    </row>
    <row r="68" spans="1:30" s="61" customFormat="1" ht="20.100000000000001" customHeight="1" x14ac:dyDescent="0.45">
      <c r="A68" s="69" t="s">
        <v>151</v>
      </c>
      <c r="B68" s="84">
        <v>6</v>
      </c>
      <c r="C68" s="112" t="s">
        <v>6</v>
      </c>
      <c r="D68" s="65">
        <v>202</v>
      </c>
      <c r="E68" s="66">
        <v>0</v>
      </c>
      <c r="F68" s="80">
        <v>353.32</v>
      </c>
      <c r="G68" s="80">
        <v>447.57</v>
      </c>
      <c r="H68" s="80">
        <v>400.73</v>
      </c>
      <c r="I68" s="80">
        <v>373.22</v>
      </c>
      <c r="J68" s="80">
        <v>461.23</v>
      </c>
      <c r="K68" s="80">
        <v>464.62</v>
      </c>
      <c r="L68" s="80">
        <v>456.72</v>
      </c>
      <c r="M68" s="80">
        <v>477.5</v>
      </c>
      <c r="N68" s="80">
        <v>480.05</v>
      </c>
      <c r="O68" s="80">
        <v>475.76</v>
      </c>
      <c r="P68" s="80">
        <v>459.78</v>
      </c>
      <c r="Q68" s="80">
        <v>463.52</v>
      </c>
      <c r="R68" s="83">
        <f>SUM('Cuota-Pago=Saldo'!AN71)</f>
        <v>-3.7785487156156705E-3</v>
      </c>
      <c r="S68" s="62" t="s">
        <v>12</v>
      </c>
      <c r="T68" s="62"/>
      <c r="U68" s="62"/>
      <c r="V68"/>
      <c r="W68"/>
      <c r="X68"/>
      <c r="Y68"/>
      <c r="Z68"/>
      <c r="AA68"/>
      <c r="AB68"/>
      <c r="AC68"/>
      <c r="AD68"/>
    </row>
    <row r="69" spans="1:30" s="61" customFormat="1" ht="20.100000000000001" customHeight="1" x14ac:dyDescent="0.45">
      <c r="A69" s="63" t="s">
        <v>152</v>
      </c>
      <c r="B69" s="84">
        <v>7</v>
      </c>
      <c r="C69" s="112" t="s">
        <v>6</v>
      </c>
      <c r="D69" s="65">
        <v>203</v>
      </c>
      <c r="E69" s="66">
        <v>0</v>
      </c>
      <c r="F69" s="80">
        <v>312.55</v>
      </c>
      <c r="G69" s="80">
        <v>326.23</v>
      </c>
      <c r="H69" s="80">
        <v>332.68</v>
      </c>
      <c r="I69" s="80">
        <v>322.44</v>
      </c>
      <c r="J69" s="80">
        <v>346.49</v>
      </c>
      <c r="K69" s="80">
        <v>342.14</v>
      </c>
      <c r="L69" s="80">
        <v>334.78</v>
      </c>
      <c r="M69" s="80">
        <v>333.33</v>
      </c>
      <c r="N69" s="80">
        <v>328.49</v>
      </c>
      <c r="O69" s="80">
        <v>324.88</v>
      </c>
      <c r="P69" s="80">
        <v>331.49</v>
      </c>
      <c r="Q69" s="80">
        <v>329.55</v>
      </c>
      <c r="R69" s="83">
        <f>SUM('Cuota-Pago=Saldo'!AN72)</f>
        <v>7.3110677010390646E-4</v>
      </c>
      <c r="S69" s="72"/>
      <c r="T69" s="62"/>
      <c r="U69" s="62"/>
      <c r="V69"/>
      <c r="W69"/>
      <c r="X69"/>
      <c r="Y69"/>
      <c r="Z69"/>
      <c r="AA69"/>
      <c r="AB69"/>
      <c r="AC69"/>
      <c r="AD69"/>
    </row>
    <row r="70" spans="1:30" s="61" customFormat="1" ht="20.100000000000001" customHeight="1" x14ac:dyDescent="0.45">
      <c r="A70" s="63" t="s">
        <v>153</v>
      </c>
      <c r="B70" s="84">
        <v>8</v>
      </c>
      <c r="C70" s="112" t="s">
        <v>6</v>
      </c>
      <c r="D70" s="65">
        <v>204</v>
      </c>
      <c r="E70" s="66">
        <v>0</v>
      </c>
      <c r="F70" s="80">
        <v>326.5</v>
      </c>
      <c r="G70" s="80">
        <v>382.11</v>
      </c>
      <c r="H70" s="80">
        <v>378</v>
      </c>
      <c r="I70" s="80">
        <v>373.92</v>
      </c>
      <c r="J70" s="80">
        <v>390.63</v>
      </c>
      <c r="K70" s="80">
        <v>382.24</v>
      </c>
      <c r="L70" s="80">
        <v>379.21</v>
      </c>
      <c r="M70" s="80">
        <v>374.14</v>
      </c>
      <c r="N70" s="80">
        <v>375.3</v>
      </c>
      <c r="O70" s="80">
        <v>371.46</v>
      </c>
      <c r="P70" s="80">
        <v>383.64</v>
      </c>
      <c r="Q70" s="80">
        <v>371.6</v>
      </c>
      <c r="R70" s="83">
        <f>SUM('Cuota-Pago=Saldo'!AN73)</f>
        <v>9.3255407369952081E-4</v>
      </c>
      <c r="S70" s="72"/>
      <c r="T70" s="62"/>
      <c r="U70" s="62"/>
      <c r="V70"/>
      <c r="W70"/>
      <c r="X70"/>
      <c r="Y70"/>
      <c r="Z70"/>
      <c r="AA70"/>
      <c r="AB70"/>
      <c r="AC70"/>
      <c r="AD70"/>
    </row>
    <row r="71" spans="1:30" s="61" customFormat="1" ht="20.100000000000001" customHeight="1" x14ac:dyDescent="0.45">
      <c r="A71" s="63" t="s">
        <v>154</v>
      </c>
      <c r="B71" s="84">
        <v>9</v>
      </c>
      <c r="C71" s="112" t="s">
        <v>6</v>
      </c>
      <c r="D71" s="65">
        <v>301</v>
      </c>
      <c r="E71" s="66">
        <v>0</v>
      </c>
      <c r="F71" s="80">
        <f>329.62-0.05</f>
        <v>329.57</v>
      </c>
      <c r="G71" s="80">
        <v>376</v>
      </c>
      <c r="H71" s="80">
        <v>383.27</v>
      </c>
      <c r="I71" s="80">
        <v>376.89</v>
      </c>
      <c r="J71" s="80">
        <v>392.35</v>
      </c>
      <c r="K71" s="80">
        <v>379</v>
      </c>
      <c r="L71" s="80">
        <v>375</v>
      </c>
      <c r="M71" s="80">
        <v>367</v>
      </c>
      <c r="N71" s="80">
        <v>366.79</v>
      </c>
      <c r="O71" s="80">
        <v>363.23</v>
      </c>
      <c r="P71" s="80">
        <v>386</v>
      </c>
      <c r="Q71" s="80"/>
      <c r="R71" s="83">
        <f>SUM('Cuota-Pago=Saldo'!AN74)</f>
        <v>-372.91116741318359</v>
      </c>
      <c r="S71" s="72"/>
      <c r="T71" s="62"/>
      <c r="U71" s="62"/>
      <c r="V71"/>
      <c r="W71"/>
      <c r="X71"/>
      <c r="Y71"/>
      <c r="Z71"/>
      <c r="AA71"/>
      <c r="AB71"/>
      <c r="AC71"/>
      <c r="AD71"/>
    </row>
    <row r="72" spans="1:30" s="61" customFormat="1" ht="20.100000000000001" customHeight="1" x14ac:dyDescent="0.45">
      <c r="A72" s="69" t="s">
        <v>155</v>
      </c>
      <c r="B72" s="84">
        <v>10</v>
      </c>
      <c r="C72" s="112" t="s">
        <v>6</v>
      </c>
      <c r="D72" s="65">
        <v>302</v>
      </c>
      <c r="E72" s="66">
        <v>0</v>
      </c>
      <c r="F72" s="80">
        <v>343.9</v>
      </c>
      <c r="G72" s="80">
        <v>396.31</v>
      </c>
      <c r="H72" s="80">
        <v>399.98</v>
      </c>
      <c r="I72" s="80">
        <v>390.64</v>
      </c>
      <c r="J72" s="80">
        <v>402.84</v>
      </c>
      <c r="K72" s="80">
        <v>392.27</v>
      </c>
      <c r="L72" s="80">
        <v>387.85</v>
      </c>
      <c r="M72" s="80">
        <v>391.06</v>
      </c>
      <c r="N72" s="80">
        <v>386.7</v>
      </c>
      <c r="O72" s="80">
        <v>382.81</v>
      </c>
      <c r="P72" s="80">
        <v>387.41</v>
      </c>
      <c r="Q72" s="80">
        <v>398.65</v>
      </c>
      <c r="R72" s="83">
        <f>SUM('Cuota-Pago=Saldo'!AN75)</f>
        <v>2.078574486006346E-3</v>
      </c>
      <c r="S72" s="72"/>
      <c r="T72" s="62"/>
      <c r="U72" s="62"/>
      <c r="V72"/>
      <c r="W72"/>
      <c r="X72"/>
      <c r="Y72"/>
      <c r="Z72"/>
      <c r="AA72"/>
      <c r="AB72"/>
      <c r="AC72"/>
      <c r="AD72"/>
    </row>
    <row r="73" spans="1:30" s="61" customFormat="1" ht="20.100000000000001" customHeight="1" x14ac:dyDescent="0.45">
      <c r="A73" s="69" t="s">
        <v>156</v>
      </c>
      <c r="B73" s="84">
        <v>11</v>
      </c>
      <c r="C73" s="112" t="s">
        <v>6</v>
      </c>
      <c r="D73" s="65">
        <v>303</v>
      </c>
      <c r="E73" s="66">
        <v>0</v>
      </c>
      <c r="F73" s="80">
        <v>332.19</v>
      </c>
      <c r="G73" s="80">
        <v>359.86</v>
      </c>
      <c r="H73" s="80">
        <v>367.68</v>
      </c>
      <c r="I73" s="80">
        <v>350.98</v>
      </c>
      <c r="J73" s="80">
        <v>366.29</v>
      </c>
      <c r="K73" s="80">
        <v>359.46</v>
      </c>
      <c r="L73" s="80">
        <v>363.76</v>
      </c>
      <c r="M73" s="80">
        <v>370.35</v>
      </c>
      <c r="N73" s="80">
        <v>371.48</v>
      </c>
      <c r="O73" s="80">
        <v>367.66</v>
      </c>
      <c r="P73" s="80">
        <v>352.89</v>
      </c>
      <c r="Q73" s="80">
        <v>342.87</v>
      </c>
      <c r="R73" s="83">
        <f>SUM('Cuota-Pago=Saldo'!AN76)</f>
        <v>1.9190802915431959E-3</v>
      </c>
      <c r="S73" s="72"/>
      <c r="T73" s="62"/>
      <c r="U73" s="62"/>
      <c r="V73"/>
      <c r="W73"/>
      <c r="X73"/>
      <c r="Y73"/>
      <c r="Z73"/>
      <c r="AA73"/>
      <c r="AB73"/>
      <c r="AC73"/>
      <c r="AD73"/>
    </row>
    <row r="74" spans="1:30" s="61" customFormat="1" ht="20.100000000000001" customHeight="1" x14ac:dyDescent="0.45">
      <c r="A74" s="69" t="s">
        <v>157</v>
      </c>
      <c r="B74" s="84">
        <v>12</v>
      </c>
      <c r="C74" s="112" t="s">
        <v>6</v>
      </c>
      <c r="D74" s="65">
        <v>304</v>
      </c>
      <c r="E74" s="66">
        <v>0</v>
      </c>
      <c r="F74" s="80"/>
      <c r="G74" s="80"/>
      <c r="H74" s="80">
        <v>709.24</v>
      </c>
      <c r="I74" s="80"/>
      <c r="J74" s="80">
        <v>723.49</v>
      </c>
      <c r="K74" s="80"/>
      <c r="L74" s="80"/>
      <c r="M74" s="80">
        <v>1091.1099999999999</v>
      </c>
      <c r="N74" s="80"/>
      <c r="O74" s="80">
        <v>739.85</v>
      </c>
      <c r="P74" s="80"/>
      <c r="Q74" s="80"/>
      <c r="R74" s="83">
        <f>SUM('Cuota-Pago=Saldo'!AN77)</f>
        <v>-721.1461194361674</v>
      </c>
      <c r="S74" s="72"/>
      <c r="T74" s="62"/>
      <c r="U74" s="62"/>
      <c r="V74"/>
      <c r="W74"/>
      <c r="X74"/>
      <c r="Y74"/>
      <c r="Z74"/>
      <c r="AA74"/>
      <c r="AB74"/>
      <c r="AC74"/>
      <c r="AD74"/>
    </row>
    <row r="75" spans="1:30" s="61" customFormat="1" ht="20.100000000000001" customHeight="1" x14ac:dyDescent="0.45">
      <c r="A75" s="63" t="s">
        <v>158</v>
      </c>
      <c r="B75" s="84">
        <v>13</v>
      </c>
      <c r="C75" s="112" t="s">
        <v>6</v>
      </c>
      <c r="D75" s="65">
        <v>401</v>
      </c>
      <c r="E75" s="66">
        <v>0</v>
      </c>
      <c r="F75" s="80">
        <v>344.62</v>
      </c>
      <c r="G75" s="80">
        <v>412.72</v>
      </c>
      <c r="H75" s="80">
        <v>410.39</v>
      </c>
      <c r="I75" s="80">
        <v>403.91</v>
      </c>
      <c r="J75" s="80">
        <v>412.47</v>
      </c>
      <c r="K75" s="80">
        <v>386.9</v>
      </c>
      <c r="L75" s="80">
        <v>386.9</v>
      </c>
      <c r="M75" s="80">
        <v>381.19</v>
      </c>
      <c r="N75" s="80">
        <v>387.78</v>
      </c>
      <c r="O75" s="80">
        <v>383.89</v>
      </c>
      <c r="P75" s="80">
        <v>402.69</v>
      </c>
      <c r="Q75" s="80">
        <v>397.28</v>
      </c>
      <c r="R75" s="83">
        <f>SUM('Cuota-Pago=Saldo'!AN78)</f>
        <v>-4.913992027866243E-3</v>
      </c>
      <c r="S75" s="72"/>
      <c r="T75" s="62"/>
      <c r="U75" s="62"/>
      <c r="V75"/>
      <c r="W75"/>
      <c r="X75"/>
      <c r="Y75"/>
      <c r="Z75"/>
      <c r="AA75"/>
      <c r="AB75"/>
      <c r="AC75"/>
      <c r="AD75"/>
    </row>
    <row r="76" spans="1:30" s="61" customFormat="1" ht="20.100000000000001" customHeight="1" x14ac:dyDescent="0.45">
      <c r="A76" s="69" t="s">
        <v>159</v>
      </c>
      <c r="B76" s="84">
        <v>14</v>
      </c>
      <c r="C76" s="112" t="s">
        <v>6</v>
      </c>
      <c r="D76" s="65">
        <v>402</v>
      </c>
      <c r="E76" s="66">
        <v>0</v>
      </c>
      <c r="F76" s="80">
        <f>380+81.21</f>
        <v>461.21</v>
      </c>
      <c r="G76" s="80">
        <v>200</v>
      </c>
      <c r="H76" s="80">
        <v>500</v>
      </c>
      <c r="I76" s="80">
        <v>500</v>
      </c>
      <c r="J76" s="80" t="s">
        <v>12</v>
      </c>
      <c r="K76" s="80">
        <v>600</v>
      </c>
      <c r="L76" s="80"/>
      <c r="M76" s="80">
        <v>1000</v>
      </c>
      <c r="N76" s="80"/>
      <c r="O76" s="80"/>
      <c r="P76" s="80"/>
      <c r="Q76" s="80"/>
      <c r="R76" s="83">
        <f>SUM('Cuota-Pago=Saldo'!AN79)</f>
        <v>-1720.0479312405937</v>
      </c>
      <c r="S76"/>
      <c r="T76"/>
      <c r="U76"/>
      <c r="V76"/>
      <c r="W76"/>
      <c r="X76"/>
      <c r="Y76"/>
      <c r="Z76"/>
      <c r="AA76"/>
      <c r="AB76"/>
      <c r="AC76"/>
      <c r="AD76"/>
    </row>
    <row r="77" spans="1:30" s="61" customFormat="1" ht="20.100000000000001" customHeight="1" x14ac:dyDescent="0.45">
      <c r="A77" s="75" t="s">
        <v>160</v>
      </c>
      <c r="B77" s="84">
        <v>15</v>
      </c>
      <c r="C77" s="112" t="s">
        <v>6</v>
      </c>
      <c r="D77" s="71">
        <v>403</v>
      </c>
      <c r="E77" s="66">
        <v>0</v>
      </c>
      <c r="F77" s="80">
        <v>352.58</v>
      </c>
      <c r="G77" s="80">
        <v>411.93</v>
      </c>
      <c r="H77" s="80">
        <v>434.18</v>
      </c>
      <c r="I77" s="80">
        <v>452.11</v>
      </c>
      <c r="J77" s="80">
        <v>422.01</v>
      </c>
      <c r="K77" s="80">
        <v>414.6</v>
      </c>
      <c r="L77" s="80">
        <v>411.53</v>
      </c>
      <c r="M77" s="80">
        <v>421</v>
      </c>
      <c r="N77" s="80">
        <v>414.58</v>
      </c>
      <c r="O77" s="80">
        <v>360</v>
      </c>
      <c r="P77" s="80">
        <v>350</v>
      </c>
      <c r="Q77" s="80">
        <v>500</v>
      </c>
      <c r="R77" s="83">
        <f>SUM('Cuota-Pago=Saldo'!AN80)</f>
        <v>-37.308580084626044</v>
      </c>
      <c r="S77" s="72"/>
      <c r="T77" s="62"/>
      <c r="U77" s="62"/>
      <c r="V77"/>
      <c r="W77"/>
      <c r="X77"/>
      <c r="Y77"/>
      <c r="Z77"/>
      <c r="AA77"/>
      <c r="AB77"/>
      <c r="AC77"/>
      <c r="AD77"/>
    </row>
    <row r="78" spans="1:30" s="61" customFormat="1" ht="20.100000000000001" customHeight="1" x14ac:dyDescent="0.45">
      <c r="A78" s="63" t="s">
        <v>161</v>
      </c>
      <c r="B78" s="84">
        <v>16</v>
      </c>
      <c r="C78" s="112" t="s">
        <v>6</v>
      </c>
      <c r="D78" s="65">
        <v>404</v>
      </c>
      <c r="E78" s="66">
        <v>0</v>
      </c>
      <c r="F78" s="80">
        <f>350-3.04</f>
        <v>346.96</v>
      </c>
      <c r="G78" s="80">
        <v>350</v>
      </c>
      <c r="H78" s="80">
        <v>340</v>
      </c>
      <c r="I78" s="80">
        <v>370</v>
      </c>
      <c r="J78" s="80">
        <v>377</v>
      </c>
      <c r="K78" s="80">
        <v>390</v>
      </c>
      <c r="L78" s="80">
        <v>385</v>
      </c>
      <c r="M78" s="80">
        <v>363</v>
      </c>
      <c r="N78" s="80">
        <v>390</v>
      </c>
      <c r="O78" s="80">
        <v>380</v>
      </c>
      <c r="P78" s="80">
        <v>390</v>
      </c>
      <c r="Q78" s="80">
        <v>375</v>
      </c>
      <c r="R78" s="83">
        <f>SUM('Cuota-Pago=Saldo'!AN81)</f>
        <v>-0.133870760603088</v>
      </c>
      <c r="S78" s="72"/>
      <c r="T78" s="62"/>
      <c r="U78" s="62"/>
      <c r="V78"/>
      <c r="W78"/>
      <c r="X78"/>
      <c r="Y78"/>
      <c r="Z78"/>
      <c r="AA78"/>
      <c r="AB78"/>
      <c r="AC78"/>
      <c r="AD78"/>
    </row>
    <row r="79" spans="1:30" s="61" customFormat="1" ht="20.100000000000001" customHeight="1" x14ac:dyDescent="0.45">
      <c r="A79" s="69" t="s">
        <v>162</v>
      </c>
      <c r="B79" s="84">
        <v>17</v>
      </c>
      <c r="C79" s="112" t="s">
        <v>6</v>
      </c>
      <c r="D79" s="65">
        <v>501</v>
      </c>
      <c r="E79" s="66">
        <v>0</v>
      </c>
      <c r="F79" s="80">
        <v>381</v>
      </c>
      <c r="G79" s="80">
        <v>459</v>
      </c>
      <c r="H79" s="80">
        <v>451</v>
      </c>
      <c r="I79" s="80">
        <v>432</v>
      </c>
      <c r="J79" s="80">
        <v>477.2</v>
      </c>
      <c r="K79" s="80">
        <f>435+18</f>
        <v>453</v>
      </c>
      <c r="L79" s="80">
        <v>450.4</v>
      </c>
      <c r="M79" s="80">
        <v>430.1</v>
      </c>
      <c r="N79" s="80">
        <v>438</v>
      </c>
      <c r="O79" s="80">
        <v>506</v>
      </c>
      <c r="P79" s="80">
        <v>460</v>
      </c>
      <c r="Q79" s="80">
        <v>489</v>
      </c>
      <c r="R79" s="83">
        <f>SUM('Cuota-Pago=Saldo'!AN82)</f>
        <v>1.0386354627021888</v>
      </c>
      <c r="S79" s="72"/>
      <c r="T79" s="62"/>
      <c r="U79" s="62"/>
      <c r="V79"/>
      <c r="W79"/>
      <c r="X79"/>
      <c r="Y79"/>
      <c r="Z79"/>
      <c r="AA79"/>
      <c r="AB79"/>
      <c r="AC79"/>
      <c r="AD79"/>
    </row>
    <row r="80" spans="1:30" s="61" customFormat="1" ht="20.100000000000001" customHeight="1" x14ac:dyDescent="0.45">
      <c r="A80" s="69" t="s">
        <v>163</v>
      </c>
      <c r="B80" s="84">
        <v>18</v>
      </c>
      <c r="C80" s="112" t="s">
        <v>6</v>
      </c>
      <c r="D80" s="65">
        <v>502</v>
      </c>
      <c r="E80" s="66">
        <v>0</v>
      </c>
      <c r="F80" s="80">
        <v>339</v>
      </c>
      <c r="G80" s="80">
        <v>374</v>
      </c>
      <c r="H80" s="80">
        <v>391.5</v>
      </c>
      <c r="I80" s="80">
        <v>401</v>
      </c>
      <c r="J80" s="80">
        <v>888</v>
      </c>
      <c r="K80" s="80"/>
      <c r="L80" s="80"/>
      <c r="M80" s="80">
        <v>858</v>
      </c>
      <c r="N80" s="80">
        <v>390</v>
      </c>
      <c r="O80" s="80">
        <v>377</v>
      </c>
      <c r="P80" s="80">
        <v>412.5</v>
      </c>
      <c r="Q80" s="80">
        <v>411</v>
      </c>
      <c r="R80" s="83">
        <f>SUM('Cuota-Pago=Saldo'!AN83)</f>
        <v>0.14804453152464703</v>
      </c>
      <c r="S80" s="72"/>
      <c r="T80" s="62"/>
      <c r="U80" s="62"/>
      <c r="V80"/>
      <c r="W80"/>
      <c r="X80"/>
      <c r="Y80"/>
      <c r="Z80"/>
      <c r="AA80"/>
      <c r="AB80"/>
      <c r="AC80"/>
      <c r="AD80"/>
    </row>
    <row r="81" spans="1:30" s="61" customFormat="1" ht="20.100000000000001" customHeight="1" x14ac:dyDescent="0.45">
      <c r="A81" s="69" t="s">
        <v>164</v>
      </c>
      <c r="B81" s="84">
        <v>19</v>
      </c>
      <c r="C81" s="112" t="s">
        <v>6</v>
      </c>
      <c r="D81" s="65">
        <v>503</v>
      </c>
      <c r="E81" s="66">
        <v>0</v>
      </c>
      <c r="F81" s="80"/>
      <c r="G81" s="80"/>
      <c r="H81" s="80">
        <v>400</v>
      </c>
      <c r="I81" s="80"/>
      <c r="J81" s="80"/>
      <c r="K81" s="80">
        <v>1209.29</v>
      </c>
      <c r="L81" s="80">
        <v>383.22</v>
      </c>
      <c r="M81" s="80">
        <v>400.87</v>
      </c>
      <c r="N81" s="80">
        <v>380.36</v>
      </c>
      <c r="O81" s="80">
        <v>376.5</v>
      </c>
      <c r="P81" s="80">
        <v>379.6</v>
      </c>
      <c r="Q81" s="80">
        <v>380.73</v>
      </c>
      <c r="R81" s="83">
        <f>SUM('Cuota-Pago=Saldo'!AN84)</f>
        <v>5.4937664856424817E-4</v>
      </c>
      <c r="S81" s="72"/>
      <c r="T81" s="62"/>
      <c r="U81" s="62"/>
      <c r="V81"/>
      <c r="W81"/>
      <c r="X81"/>
      <c r="Y81"/>
      <c r="Z81"/>
      <c r="AA81"/>
      <c r="AB81"/>
      <c r="AC81"/>
      <c r="AD81"/>
    </row>
    <row r="82" spans="1:30" s="61" customFormat="1" ht="20.100000000000001" customHeight="1" x14ac:dyDescent="0.45">
      <c r="A82" s="69" t="s">
        <v>165</v>
      </c>
      <c r="B82" s="84">
        <v>20</v>
      </c>
      <c r="C82" s="112" t="s">
        <v>6</v>
      </c>
      <c r="D82" s="65">
        <v>504</v>
      </c>
      <c r="E82" s="66">
        <v>0</v>
      </c>
      <c r="F82" s="80">
        <v>343.57</v>
      </c>
      <c r="G82" s="80">
        <v>425.23</v>
      </c>
      <c r="H82" s="80"/>
      <c r="I82" s="80">
        <v>883.02</v>
      </c>
      <c r="J82" s="80">
        <v>454.53</v>
      </c>
      <c r="K82" s="80">
        <v>433.44</v>
      </c>
      <c r="L82" s="80">
        <v>439.85</v>
      </c>
      <c r="M82" s="80"/>
      <c r="N82" s="80">
        <v>836.88</v>
      </c>
      <c r="O82" s="80">
        <v>420.91</v>
      </c>
      <c r="P82" s="80">
        <v>399.09</v>
      </c>
      <c r="Q82" s="80">
        <v>412.32</v>
      </c>
      <c r="R82" s="83">
        <f>SUM('Cuota-Pago=Saldo'!AN85)</f>
        <v>1.8596791892377951E-3</v>
      </c>
      <c r="S82" s="72"/>
      <c r="T82" s="62"/>
      <c r="U82" s="62"/>
      <c r="V82"/>
      <c r="W82"/>
      <c r="X82"/>
      <c r="Y82"/>
      <c r="Z82"/>
      <c r="AA82"/>
      <c r="AB82"/>
      <c r="AC82"/>
      <c r="AD82"/>
    </row>
    <row r="83" spans="1:30" ht="20.100000000000001" customHeight="1" x14ac:dyDescent="0.45">
      <c r="A83" s="69" t="s">
        <v>166</v>
      </c>
      <c r="B83" s="64">
        <v>1</v>
      </c>
      <c r="C83" s="112" t="s">
        <v>7</v>
      </c>
      <c r="D83" s="65">
        <v>101</v>
      </c>
      <c r="E83" s="66">
        <v>0</v>
      </c>
      <c r="F83" s="80"/>
      <c r="G83" s="80"/>
      <c r="H83" s="80">
        <v>872.95</v>
      </c>
      <c r="I83" s="80"/>
      <c r="J83" s="80">
        <v>934.56</v>
      </c>
      <c r="K83" s="80">
        <v>487.22</v>
      </c>
      <c r="L83" s="80">
        <v>439.16</v>
      </c>
      <c r="M83" s="80">
        <v>462.89</v>
      </c>
      <c r="N83" s="80">
        <v>481.32</v>
      </c>
      <c r="O83" s="80">
        <v>477.01</v>
      </c>
      <c r="P83" s="80">
        <v>451.33</v>
      </c>
      <c r="Q83" s="80">
        <v>435.55</v>
      </c>
      <c r="R83" s="83">
        <f>SUM('Cuota-Pago=Saldo'!AN86)</f>
        <v>1.2854443980359065E-6</v>
      </c>
      <c r="T83" s="62">
        <f>COUNTIF(R83:R102,"&gt;0")</f>
        <v>5</v>
      </c>
      <c r="U83" s="67"/>
    </row>
    <row r="84" spans="1:30" ht="20.100000000000001" customHeight="1" x14ac:dyDescent="0.45">
      <c r="A84" s="69" t="s">
        <v>167</v>
      </c>
      <c r="B84" s="64">
        <v>2</v>
      </c>
      <c r="C84" s="112" t="s">
        <v>7</v>
      </c>
      <c r="D84" s="65">
        <v>102</v>
      </c>
      <c r="E84" s="66">
        <v>0</v>
      </c>
      <c r="F84" s="80">
        <v>340.43</v>
      </c>
      <c r="G84" s="80">
        <v>402.87</v>
      </c>
      <c r="H84" s="80">
        <v>401.97</v>
      </c>
      <c r="I84" s="80">
        <v>407.02</v>
      </c>
      <c r="J84" s="80">
        <v>417.92</v>
      </c>
      <c r="K84" s="80">
        <v>405.43</v>
      </c>
      <c r="L84" s="80">
        <v>399.02</v>
      </c>
      <c r="M84" s="80">
        <v>401.11</v>
      </c>
      <c r="N84" s="80">
        <v>400.34</v>
      </c>
      <c r="O84" s="80">
        <v>396.39</v>
      </c>
      <c r="P84" s="80">
        <v>403.24</v>
      </c>
      <c r="Q84" s="80">
        <v>398.02</v>
      </c>
      <c r="R84" s="83">
        <f>SUM('Cuota-Pago=Saldo'!AN87)</f>
        <v>-1.2429058148200056E-4</v>
      </c>
      <c r="T84" s="62">
        <f>COUNTIF(R83:R102,"&lt;0")</f>
        <v>15</v>
      </c>
      <c r="U84" s="68"/>
    </row>
    <row r="85" spans="1:30" ht="20.100000000000001" customHeight="1" x14ac:dyDescent="0.45">
      <c r="A85" s="69" t="s">
        <v>168</v>
      </c>
      <c r="B85" s="64">
        <v>3</v>
      </c>
      <c r="C85" s="112" t="s">
        <v>7</v>
      </c>
      <c r="D85" s="65">
        <v>103</v>
      </c>
      <c r="E85" s="66">
        <v>0</v>
      </c>
      <c r="F85" s="80">
        <v>316.14999999999998</v>
      </c>
      <c r="G85" s="80">
        <v>336.09</v>
      </c>
      <c r="H85" s="80">
        <v>338.63</v>
      </c>
      <c r="I85" s="80">
        <v>330.71</v>
      </c>
      <c r="J85" s="80">
        <v>350.12</v>
      </c>
      <c r="K85" s="80">
        <v>342.2</v>
      </c>
      <c r="L85" s="80">
        <v>338.14</v>
      </c>
      <c r="M85" s="80">
        <v>413.14</v>
      </c>
      <c r="N85" s="80">
        <v>337.71</v>
      </c>
      <c r="O85" s="80">
        <v>334.04</v>
      </c>
      <c r="P85" s="80">
        <v>340.56</v>
      </c>
      <c r="Q85" s="80"/>
      <c r="R85" s="83">
        <f>SUM('Cuota-Pago=Saldo'!AN88)</f>
        <v>-338.61554958183149</v>
      </c>
      <c r="T85" s="62">
        <f>SUM(T83)-20</f>
        <v>-15</v>
      </c>
      <c r="U85" s="67"/>
      <c r="V85" s="29" t="s">
        <v>12</v>
      </c>
    </row>
    <row r="86" spans="1:30" ht="20.100000000000001" customHeight="1" x14ac:dyDescent="0.45">
      <c r="A86" s="69" t="s">
        <v>169</v>
      </c>
      <c r="B86" s="64">
        <v>4</v>
      </c>
      <c r="C86" s="112" t="s">
        <v>7</v>
      </c>
      <c r="D86" s="65">
        <v>104</v>
      </c>
      <c r="E86" s="66">
        <v>0</v>
      </c>
      <c r="F86" s="80">
        <v>329.93</v>
      </c>
      <c r="G86" s="80">
        <v>377.58</v>
      </c>
      <c r="H86" s="80">
        <v>383.67</v>
      </c>
      <c r="I86" s="80">
        <v>398.37</v>
      </c>
      <c r="J86" s="80">
        <v>399.45</v>
      </c>
      <c r="K86" s="80">
        <v>398.53</v>
      </c>
      <c r="L86" s="80">
        <v>388.79</v>
      </c>
      <c r="M86" s="80">
        <v>391.05</v>
      </c>
      <c r="N86" s="80">
        <v>386.14</v>
      </c>
      <c r="O86" s="80">
        <v>382.25</v>
      </c>
      <c r="P86" s="80">
        <f>382.25+5.58</f>
        <v>387.83</v>
      </c>
      <c r="Q86" s="80"/>
      <c r="R86" s="83">
        <f>SUM('Cuota-Pago=Saldo'!AN89)</f>
        <v>-390.1285694000531</v>
      </c>
    </row>
    <row r="87" spans="1:30" ht="20.100000000000001" customHeight="1" x14ac:dyDescent="0.45">
      <c r="A87" s="69" t="s">
        <v>170</v>
      </c>
      <c r="B87" s="64">
        <v>5</v>
      </c>
      <c r="C87" s="112" t="s">
        <v>7</v>
      </c>
      <c r="D87" s="65">
        <v>201</v>
      </c>
      <c r="E87" s="66">
        <v>0</v>
      </c>
      <c r="F87" s="80">
        <v>348</v>
      </c>
      <c r="G87" s="80">
        <v>421</v>
      </c>
      <c r="H87" s="80">
        <v>403</v>
      </c>
      <c r="I87" s="80">
        <v>431</v>
      </c>
      <c r="J87" s="80">
        <v>447</v>
      </c>
      <c r="K87" s="80">
        <v>453</v>
      </c>
      <c r="L87" s="80">
        <v>458</v>
      </c>
      <c r="M87" s="80">
        <v>426</v>
      </c>
      <c r="N87" s="80">
        <v>454</v>
      </c>
      <c r="O87" s="80">
        <v>449</v>
      </c>
      <c r="P87" s="80">
        <v>463</v>
      </c>
      <c r="Q87" s="80">
        <v>460</v>
      </c>
      <c r="R87" s="83">
        <f>SUM('Cuota-Pago=Saldo'!AN90)</f>
        <v>0.20694997676207549</v>
      </c>
    </row>
    <row r="88" spans="1:30" ht="20.100000000000001" customHeight="1" x14ac:dyDescent="0.45">
      <c r="A88" s="63" t="s">
        <v>171</v>
      </c>
      <c r="B88" s="64">
        <v>6</v>
      </c>
      <c r="C88" s="112" t="s">
        <v>7</v>
      </c>
      <c r="D88" s="65">
        <v>202</v>
      </c>
      <c r="E88" s="66">
        <v>0</v>
      </c>
      <c r="F88" s="80"/>
      <c r="G88" s="80"/>
      <c r="H88" s="80"/>
      <c r="I88" s="80" t="s">
        <v>12</v>
      </c>
      <c r="J88" s="80">
        <v>1616.41</v>
      </c>
      <c r="K88" s="80" t="s">
        <v>12</v>
      </c>
      <c r="L88" s="80"/>
      <c r="M88" s="80">
        <v>1029.77</v>
      </c>
      <c r="N88" s="80">
        <v>332.02</v>
      </c>
      <c r="O88" s="80">
        <v>382.25</v>
      </c>
      <c r="P88" s="80">
        <v>269.86</v>
      </c>
      <c r="Q88" s="80"/>
      <c r="R88" s="83">
        <f>SUM('Cuota-Pago=Saldo'!AN91)</f>
        <v>-320.6871990033448</v>
      </c>
    </row>
    <row r="89" spans="1:30" ht="20.100000000000001" customHeight="1" x14ac:dyDescent="0.45">
      <c r="A89" s="69" t="s">
        <v>172</v>
      </c>
      <c r="B89" s="64">
        <v>7</v>
      </c>
      <c r="C89" s="112" t="s">
        <v>7</v>
      </c>
      <c r="D89" s="65">
        <v>203</v>
      </c>
      <c r="E89" s="66">
        <v>0</v>
      </c>
      <c r="F89" s="80">
        <v>361.41</v>
      </c>
      <c r="G89" s="80">
        <v>457.35</v>
      </c>
      <c r="H89" s="80">
        <v>458.9</v>
      </c>
      <c r="I89" s="80">
        <v>475.3</v>
      </c>
      <c r="J89" s="80">
        <v>468.93</v>
      </c>
      <c r="K89" s="80">
        <v>475.29</v>
      </c>
      <c r="L89" s="80">
        <v>455.56</v>
      </c>
      <c r="M89" s="80">
        <v>453.03</v>
      </c>
      <c r="N89" s="80">
        <v>429.07</v>
      </c>
      <c r="O89" s="80">
        <v>425</v>
      </c>
      <c r="P89" s="80">
        <v>439.66</v>
      </c>
      <c r="Q89" s="80">
        <v>439.4</v>
      </c>
      <c r="R89" s="83">
        <f>SUM('Cuota-Pago=Saldo'!AN92)</f>
        <v>-2.0070048390152806E-3</v>
      </c>
    </row>
    <row r="90" spans="1:30" ht="20.100000000000001" customHeight="1" x14ac:dyDescent="0.45">
      <c r="A90" s="69" t="s">
        <v>173</v>
      </c>
      <c r="B90" s="64">
        <v>8</v>
      </c>
      <c r="C90" s="112" t="s">
        <v>7</v>
      </c>
      <c r="D90" s="65">
        <v>204</v>
      </c>
      <c r="E90" s="66">
        <v>0</v>
      </c>
      <c r="F90" s="80">
        <v>310.2</v>
      </c>
      <c r="G90" s="80">
        <v>321</v>
      </c>
      <c r="H90" s="80">
        <v>326.7</v>
      </c>
      <c r="I90" s="80">
        <v>314.2</v>
      </c>
      <c r="J90" s="80">
        <v>336</v>
      </c>
      <c r="K90" s="80">
        <v>330</v>
      </c>
      <c r="L90" s="80">
        <v>325</v>
      </c>
      <c r="M90" s="80">
        <v>323.60000000000002</v>
      </c>
      <c r="N90" s="80">
        <v>321.5</v>
      </c>
      <c r="O90" s="80">
        <v>318</v>
      </c>
      <c r="P90" s="80">
        <v>324</v>
      </c>
      <c r="Q90" s="80">
        <v>321</v>
      </c>
      <c r="R90" s="83">
        <f>SUM('Cuota-Pago=Saldo'!AN93)</f>
        <v>-0.86774376001216069</v>
      </c>
    </row>
    <row r="91" spans="1:30" ht="20.100000000000001" customHeight="1" x14ac:dyDescent="0.45">
      <c r="A91" s="69" t="s">
        <v>174</v>
      </c>
      <c r="B91" s="64">
        <v>9</v>
      </c>
      <c r="C91" s="113" t="s">
        <v>7</v>
      </c>
      <c r="D91" s="65">
        <v>301</v>
      </c>
      <c r="E91" s="66">
        <v>0</v>
      </c>
      <c r="F91" s="80"/>
      <c r="G91" s="80"/>
      <c r="H91" s="80"/>
      <c r="I91" s="80"/>
      <c r="J91" s="80"/>
      <c r="K91" s="80">
        <f>2900-397.89</f>
        <v>2502.11</v>
      </c>
      <c r="L91" s="80"/>
      <c r="M91" s="80"/>
      <c r="N91" s="80"/>
      <c r="O91" s="80"/>
      <c r="P91" s="80">
        <v>2130</v>
      </c>
      <c r="Q91" s="80"/>
      <c r="R91" s="83">
        <f>SUM('Cuota-Pago=Saldo'!AN94)</f>
        <v>-445.52738695155693</v>
      </c>
    </row>
    <row r="92" spans="1:30" s="61" customFormat="1" ht="20.100000000000001" customHeight="1" x14ac:dyDescent="0.45">
      <c r="A92" s="69" t="s">
        <v>175</v>
      </c>
      <c r="B92" s="64">
        <v>10</v>
      </c>
      <c r="C92" s="112" t="s">
        <v>7</v>
      </c>
      <c r="D92" s="65">
        <v>302</v>
      </c>
      <c r="E92" s="66">
        <v>0</v>
      </c>
      <c r="F92" s="80">
        <v>368.19</v>
      </c>
      <c r="G92" s="80">
        <v>455.44</v>
      </c>
      <c r="H92" s="80">
        <v>440.21</v>
      </c>
      <c r="I92" s="80">
        <f>387.15+100</f>
        <v>487.15</v>
      </c>
      <c r="J92" s="80"/>
      <c r="K92" s="80">
        <v>954.5</v>
      </c>
      <c r="L92" s="80">
        <v>461.73</v>
      </c>
      <c r="M92" s="80">
        <v>455.46</v>
      </c>
      <c r="N92" s="80">
        <v>450.45</v>
      </c>
      <c r="O92" s="80">
        <v>446.29</v>
      </c>
      <c r="P92" s="80">
        <v>442.25</v>
      </c>
      <c r="Q92" s="80">
        <v>450.01</v>
      </c>
      <c r="R92" s="83">
        <f>SUM('Cuota-Pago=Saldo'!AN95)</f>
        <v>-2.2003646187158665E-3</v>
      </c>
      <c r="S92" s="72"/>
      <c r="T92" s="62"/>
      <c r="U92"/>
      <c r="V92"/>
      <c r="W92"/>
      <c r="X92"/>
      <c r="Y92"/>
      <c r="Z92"/>
      <c r="AA92"/>
      <c r="AB92"/>
      <c r="AC92"/>
      <c r="AD92"/>
    </row>
    <row r="93" spans="1:30" s="61" customFormat="1" ht="20.100000000000001" customHeight="1" x14ac:dyDescent="0.45">
      <c r="A93" s="69" t="s">
        <v>176</v>
      </c>
      <c r="B93" s="64">
        <v>11</v>
      </c>
      <c r="C93" s="112" t="s">
        <v>7</v>
      </c>
      <c r="D93" s="65">
        <v>303</v>
      </c>
      <c r="E93" s="66">
        <v>0</v>
      </c>
      <c r="F93" s="80">
        <v>500</v>
      </c>
      <c r="G93" s="80">
        <f>500+240</f>
        <v>740</v>
      </c>
      <c r="H93" s="80">
        <v>160</v>
      </c>
      <c r="I93" s="80">
        <v>300</v>
      </c>
      <c r="J93" s="80">
        <v>300</v>
      </c>
      <c r="K93" s="80">
        <v>1460</v>
      </c>
      <c r="L93" s="80"/>
      <c r="M93" s="80"/>
      <c r="N93" s="80"/>
      <c r="O93" s="80"/>
      <c r="P93" s="80"/>
      <c r="Q93" s="80"/>
      <c r="R93" s="83">
        <f>SUM('Cuota-Pago=Saldo'!AN96)</f>
        <v>-2464.9128399009287</v>
      </c>
      <c r="S93" s="72" t="s">
        <v>12</v>
      </c>
      <c r="T93" s="62"/>
      <c r="U93" s="62"/>
      <c r="V93"/>
      <c r="W93"/>
      <c r="X93"/>
      <c r="Y93"/>
      <c r="Z93"/>
      <c r="AA93"/>
      <c r="AB93"/>
      <c r="AC93"/>
      <c r="AD93"/>
    </row>
    <row r="94" spans="1:30" s="61" customFormat="1" ht="20.100000000000001" customHeight="1" x14ac:dyDescent="0.45">
      <c r="A94" s="69" t="s">
        <v>177</v>
      </c>
      <c r="B94" s="64">
        <v>12</v>
      </c>
      <c r="C94" s="112" t="s">
        <v>7</v>
      </c>
      <c r="D94" s="65">
        <v>304</v>
      </c>
      <c r="E94" s="66">
        <v>0</v>
      </c>
      <c r="F94" s="80">
        <v>327.11</v>
      </c>
      <c r="G94" s="80">
        <v>367.8</v>
      </c>
      <c r="H94" s="80">
        <v>372.3</v>
      </c>
      <c r="I94" s="80">
        <v>366.08</v>
      </c>
      <c r="J94" s="80">
        <v>355.51</v>
      </c>
      <c r="K94" s="80">
        <v>373.14</v>
      </c>
      <c r="L94" s="80">
        <v>369.79</v>
      </c>
      <c r="M94" s="80">
        <v>357.13</v>
      </c>
      <c r="N94" s="80">
        <v>362.08</v>
      </c>
      <c r="O94" s="80">
        <v>358.3</v>
      </c>
      <c r="P94" s="80">
        <v>364.84</v>
      </c>
      <c r="Q94" s="80">
        <v>369.57</v>
      </c>
      <c r="R94" s="83">
        <f>SUM('Cuota-Pago=Saldo'!AN97)</f>
        <v>-3.6503120696806945E-3</v>
      </c>
      <c r="S94" s="72"/>
      <c r="T94" s="62"/>
      <c r="U94" s="62"/>
      <c r="V94"/>
      <c r="W94"/>
      <c r="X94"/>
      <c r="Y94"/>
      <c r="Z94"/>
      <c r="AA94"/>
      <c r="AB94"/>
      <c r="AC94"/>
      <c r="AD94"/>
    </row>
    <row r="95" spans="1:30" s="61" customFormat="1" ht="20.100000000000001" customHeight="1" x14ac:dyDescent="0.45">
      <c r="A95" s="69" t="s">
        <v>309</v>
      </c>
      <c r="B95" s="64">
        <v>13</v>
      </c>
      <c r="C95" s="112" t="s">
        <v>7</v>
      </c>
      <c r="D95" s="65">
        <v>401</v>
      </c>
      <c r="E95" s="66">
        <v>0</v>
      </c>
      <c r="F95" s="80">
        <v>340.77</v>
      </c>
      <c r="G95" s="80">
        <v>377.65</v>
      </c>
      <c r="H95" s="80">
        <v>359.97</v>
      </c>
      <c r="I95" s="80">
        <v>401.46</v>
      </c>
      <c r="J95" s="80">
        <v>401.43</v>
      </c>
      <c r="K95" s="80">
        <v>426.72</v>
      </c>
      <c r="L95" s="80">
        <v>408.3</v>
      </c>
      <c r="M95" s="80">
        <v>404.63</v>
      </c>
      <c r="N95" s="80">
        <v>402.92</v>
      </c>
      <c r="O95" s="80">
        <v>398.97</v>
      </c>
      <c r="P95" s="80"/>
      <c r="Q95" s="80">
        <v>809.96</v>
      </c>
      <c r="R95" s="83">
        <f>SUM('Cuota-Pago=Saldo'!AN98)</f>
        <v>3.8246556389935904E-3</v>
      </c>
      <c r="S95" s="72" t="s">
        <v>12</v>
      </c>
      <c r="T95" s="62"/>
      <c r="U95" s="62"/>
      <c r="V95"/>
      <c r="W95"/>
      <c r="X95"/>
      <c r="Y95"/>
      <c r="Z95"/>
      <c r="AA95"/>
      <c r="AB95"/>
      <c r="AC95"/>
      <c r="AD95"/>
    </row>
    <row r="96" spans="1:30" s="61" customFormat="1" ht="20.100000000000001" customHeight="1" x14ac:dyDescent="0.45">
      <c r="A96" s="63" t="s">
        <v>179</v>
      </c>
      <c r="B96" s="64">
        <v>14</v>
      </c>
      <c r="C96" s="112" t="s">
        <v>7</v>
      </c>
      <c r="D96" s="65">
        <v>402</v>
      </c>
      <c r="E96" s="66">
        <v>0</v>
      </c>
      <c r="F96" s="80">
        <v>334.02</v>
      </c>
      <c r="G96" s="80">
        <v>382.02</v>
      </c>
      <c r="H96" s="80">
        <v>388.69</v>
      </c>
      <c r="I96" s="80">
        <v>376.42</v>
      </c>
      <c r="J96" s="80">
        <v>396.44</v>
      </c>
      <c r="K96" s="80">
        <v>382.05</v>
      </c>
      <c r="L96" s="80"/>
      <c r="M96" s="80">
        <v>754.53</v>
      </c>
      <c r="N96" s="80"/>
      <c r="O96" s="80">
        <v>761.79</v>
      </c>
      <c r="P96" s="80"/>
      <c r="Q96" s="80">
        <v>845.86</v>
      </c>
      <c r="R96" s="83">
        <f>SUM('Cuota-Pago=Saldo'!AN99)</f>
        <v>-2.2939398399444144E-3</v>
      </c>
      <c r="S96" s="72"/>
      <c r="T96" s="62"/>
      <c r="U96" s="62"/>
      <c r="V96"/>
      <c r="W96"/>
      <c r="X96"/>
      <c r="Y96"/>
      <c r="Z96"/>
      <c r="AA96"/>
      <c r="AB96"/>
      <c r="AC96"/>
      <c r="AD96"/>
    </row>
    <row r="97" spans="1:30" s="61" customFormat="1" ht="20.100000000000001" customHeight="1" x14ac:dyDescent="0.45">
      <c r="A97" s="63" t="s">
        <v>180</v>
      </c>
      <c r="B97" s="64">
        <v>15</v>
      </c>
      <c r="C97" s="112" t="s">
        <v>7</v>
      </c>
      <c r="D97" s="71">
        <v>403</v>
      </c>
      <c r="E97" s="66">
        <v>0</v>
      </c>
      <c r="F97" s="80">
        <v>324.52</v>
      </c>
      <c r="G97" s="80">
        <v>359.54</v>
      </c>
      <c r="H97" s="80">
        <v>347.68</v>
      </c>
      <c r="I97" s="80">
        <v>370.97</v>
      </c>
      <c r="J97" s="80">
        <v>381.75</v>
      </c>
      <c r="K97" s="80">
        <v>373.03</v>
      </c>
      <c r="L97" s="80">
        <v>362.71</v>
      </c>
      <c r="M97" s="80">
        <v>355.96</v>
      </c>
      <c r="N97" s="80">
        <v>361.2</v>
      </c>
      <c r="O97" s="80">
        <v>357.42</v>
      </c>
      <c r="P97" s="80">
        <v>367.75</v>
      </c>
      <c r="Q97" s="80">
        <v>366.47</v>
      </c>
      <c r="R97" s="83">
        <f>SUM('Cuota-Pago=Saldo'!AN100)</f>
        <v>-3.4120872890071041E-3</v>
      </c>
      <c r="S97" s="72"/>
      <c r="T97" s="62"/>
      <c r="U97" s="62"/>
      <c r="V97"/>
      <c r="W97"/>
      <c r="X97"/>
      <c r="Y97"/>
      <c r="Z97"/>
      <c r="AA97"/>
      <c r="AB97"/>
      <c r="AC97"/>
      <c r="AD97"/>
    </row>
    <row r="98" spans="1:30" s="61" customFormat="1" ht="20.100000000000001" customHeight="1" x14ac:dyDescent="0.45">
      <c r="A98" s="63" t="s">
        <v>181</v>
      </c>
      <c r="B98" s="64">
        <v>16</v>
      </c>
      <c r="C98" s="112" t="s">
        <v>7</v>
      </c>
      <c r="D98" s="65">
        <v>404</v>
      </c>
      <c r="E98" s="66">
        <v>0</v>
      </c>
      <c r="F98" s="80">
        <v>325.33999999999997</v>
      </c>
      <c r="G98" s="80">
        <v>387.02</v>
      </c>
      <c r="H98" s="80">
        <v>387.68</v>
      </c>
      <c r="I98" s="80">
        <v>396.11</v>
      </c>
      <c r="J98" s="80">
        <v>410.85</v>
      </c>
      <c r="K98" s="80">
        <v>394.94</v>
      </c>
      <c r="L98" s="80">
        <v>394.4</v>
      </c>
      <c r="M98" s="80">
        <v>395.7</v>
      </c>
      <c r="N98" s="80">
        <v>392.13</v>
      </c>
      <c r="O98" s="80">
        <v>388.23</v>
      </c>
      <c r="P98" s="80">
        <v>377.79</v>
      </c>
      <c r="Q98" s="80">
        <v>375.34</v>
      </c>
      <c r="R98" s="83">
        <f>SUM('Cuota-Pago=Saldo'!AN101)</f>
        <v>-3.2402337402572812E-3</v>
      </c>
      <c r="S98" s="72"/>
      <c r="T98" s="62"/>
      <c r="U98" s="62"/>
      <c r="V98"/>
      <c r="W98"/>
      <c r="X98"/>
      <c r="Y98"/>
      <c r="Z98"/>
      <c r="AA98"/>
      <c r="AB98"/>
      <c r="AC98"/>
      <c r="AD98"/>
    </row>
    <row r="99" spans="1:30" s="61" customFormat="1" ht="20.100000000000001" customHeight="1" x14ac:dyDescent="0.45">
      <c r="A99" s="69" t="s">
        <v>314</v>
      </c>
      <c r="B99" s="64">
        <v>17</v>
      </c>
      <c r="C99" s="112" t="s">
        <v>7</v>
      </c>
      <c r="D99" s="65">
        <v>501</v>
      </c>
      <c r="E99" s="66">
        <v>0</v>
      </c>
      <c r="F99" s="80">
        <v>332.59</v>
      </c>
      <c r="G99" s="80">
        <v>379.06</v>
      </c>
      <c r="H99" s="80">
        <v>376.06</v>
      </c>
      <c r="I99" s="80">
        <v>368.87</v>
      </c>
      <c r="J99" s="80">
        <v>388.32</v>
      </c>
      <c r="K99" s="80">
        <v>379.25</v>
      </c>
      <c r="L99" s="80">
        <v>372</v>
      </c>
      <c r="M99" s="80">
        <v>405</v>
      </c>
      <c r="N99" s="80">
        <v>391.5</v>
      </c>
      <c r="O99" s="80">
        <v>387.51</v>
      </c>
      <c r="P99" s="80">
        <v>396.57</v>
      </c>
      <c r="Q99" s="80">
        <v>409</v>
      </c>
      <c r="R99" s="83">
        <f>SUM('Cuota-Pago=Saldo'!AN102)</f>
        <v>1.8228190135801015E-2</v>
      </c>
      <c r="S99" s="72"/>
      <c r="T99" s="62"/>
      <c r="U99" s="62"/>
      <c r="V99"/>
      <c r="W99"/>
      <c r="X99"/>
      <c r="Y99"/>
      <c r="Z99"/>
      <c r="AA99"/>
      <c r="AB99"/>
      <c r="AC99"/>
      <c r="AD99"/>
    </row>
    <row r="100" spans="1:30" s="61" customFormat="1" ht="20.100000000000001" customHeight="1" x14ac:dyDescent="0.45">
      <c r="A100" s="63" t="s">
        <v>183</v>
      </c>
      <c r="B100" s="64">
        <v>18</v>
      </c>
      <c r="C100" s="112" t="s">
        <v>7</v>
      </c>
      <c r="D100" s="65">
        <v>502</v>
      </c>
      <c r="E100" s="66">
        <v>0</v>
      </c>
      <c r="F100" s="80">
        <v>340</v>
      </c>
      <c r="G100" s="80">
        <v>356</v>
      </c>
      <c r="H100" s="80">
        <v>360</v>
      </c>
      <c r="I100" s="80">
        <v>340</v>
      </c>
      <c r="J100" s="80">
        <v>410</v>
      </c>
      <c r="K100" s="80">
        <v>370</v>
      </c>
      <c r="L100" s="80">
        <v>355</v>
      </c>
      <c r="M100" s="80">
        <v>360</v>
      </c>
      <c r="N100" s="80">
        <v>351</v>
      </c>
      <c r="O100" s="80">
        <v>355</v>
      </c>
      <c r="P100" s="80">
        <v>376</v>
      </c>
      <c r="Q100" s="80">
        <v>352</v>
      </c>
      <c r="R100" s="83">
        <f>SUM('Cuota-Pago=Saldo'!AN103)</f>
        <v>0.44748498292034355</v>
      </c>
      <c r="S100" s="72"/>
      <c r="T100" s="62"/>
      <c r="U100" s="62"/>
      <c r="V100"/>
      <c r="W100"/>
      <c r="X100"/>
      <c r="Y100"/>
      <c r="Z100"/>
      <c r="AA100"/>
      <c r="AB100"/>
      <c r="AC100"/>
      <c r="AD100"/>
    </row>
    <row r="101" spans="1:30" s="61" customFormat="1" ht="20.100000000000001" customHeight="1" x14ac:dyDescent="0.45">
      <c r="A101" s="69" t="s">
        <v>184</v>
      </c>
      <c r="B101" s="64">
        <v>19</v>
      </c>
      <c r="C101" s="112" t="s">
        <v>7</v>
      </c>
      <c r="D101" s="65">
        <v>503</v>
      </c>
      <c r="E101" s="66">
        <v>0</v>
      </c>
      <c r="F101" s="80"/>
      <c r="G101" s="80">
        <v>420.6</v>
      </c>
      <c r="H101" s="80"/>
      <c r="I101" s="80"/>
      <c r="J101" s="80"/>
      <c r="K101" s="80"/>
      <c r="L101" s="80"/>
      <c r="M101" s="80"/>
      <c r="N101" s="80">
        <v>3000</v>
      </c>
      <c r="O101" s="80" t="s">
        <v>12</v>
      </c>
      <c r="P101" s="80"/>
      <c r="Q101" s="80"/>
      <c r="R101" s="83">
        <f>SUM('Cuota-Pago=Saldo'!AN104)</f>
        <v>-1098.442281655301</v>
      </c>
      <c r="S101" s="72"/>
      <c r="T101" s="304" t="s">
        <v>335</v>
      </c>
      <c r="U101" s="304"/>
      <c r="V101" s="304"/>
      <c r="W101" s="304"/>
      <c r="X101" s="304"/>
      <c r="Y101" s="304"/>
      <c r="Z101"/>
      <c r="AA101"/>
      <c r="AB101"/>
      <c r="AC101"/>
      <c r="AD101"/>
    </row>
    <row r="102" spans="1:30" s="61" customFormat="1" ht="20.100000000000001" customHeight="1" x14ac:dyDescent="0.45">
      <c r="A102" s="69" t="s">
        <v>269</v>
      </c>
      <c r="B102" s="64">
        <v>20</v>
      </c>
      <c r="C102" s="112" t="s">
        <v>7</v>
      </c>
      <c r="D102" s="65">
        <v>504</v>
      </c>
      <c r="E102" s="66">
        <v>0</v>
      </c>
      <c r="F102" s="80">
        <v>345.84</v>
      </c>
      <c r="G102" s="80">
        <v>419.68</v>
      </c>
      <c r="H102" s="80">
        <v>421.82</v>
      </c>
      <c r="I102" s="80">
        <v>413.25</v>
      </c>
      <c r="J102" s="80">
        <v>429.08</v>
      </c>
      <c r="K102" s="80">
        <v>402.9</v>
      </c>
      <c r="L102" s="80">
        <v>398.94</v>
      </c>
      <c r="M102" s="80">
        <v>389.83</v>
      </c>
      <c r="N102" s="80">
        <v>400.83</v>
      </c>
      <c r="O102" s="80">
        <v>396.88</v>
      </c>
      <c r="P102" s="80">
        <v>413.77</v>
      </c>
      <c r="Q102" s="80">
        <v>405.6</v>
      </c>
      <c r="R102" s="83">
        <f>SUM('Cuota-Pago=Saldo'!AN105)</f>
        <v>-1.4761178817934706E-4</v>
      </c>
      <c r="S102" s="72"/>
      <c r="T102" s="62"/>
      <c r="U102" s="62"/>
      <c r="V102"/>
      <c r="W102"/>
      <c r="X102"/>
      <c r="Y102"/>
      <c r="Z102"/>
      <c r="AA102"/>
      <c r="AB102"/>
      <c r="AC102"/>
      <c r="AD102"/>
    </row>
    <row r="103" spans="1:30" ht="20.100000000000001" customHeight="1" x14ac:dyDescent="0.45">
      <c r="A103" s="85" t="s">
        <v>185</v>
      </c>
      <c r="B103" s="84">
        <v>1</v>
      </c>
      <c r="C103" s="112" t="s">
        <v>8</v>
      </c>
      <c r="D103" s="65">
        <v>101</v>
      </c>
      <c r="E103" s="66">
        <v>0</v>
      </c>
      <c r="F103" s="80"/>
      <c r="G103" s="80"/>
      <c r="H103" s="80">
        <v>870.72</v>
      </c>
      <c r="I103" s="80"/>
      <c r="J103" s="80">
        <v>895.34</v>
      </c>
      <c r="K103" s="80"/>
      <c r="L103" s="80"/>
      <c r="M103" s="80">
        <v>1366.11</v>
      </c>
      <c r="N103" s="80"/>
      <c r="O103" s="80"/>
      <c r="P103" s="80">
        <v>1307.73</v>
      </c>
      <c r="Q103" s="80"/>
      <c r="R103" s="83">
        <f>SUM('Cuota-Pago=Saldo'!AN106)</f>
        <v>-454.86760588504529</v>
      </c>
      <c r="T103" s="62">
        <f>COUNTIF(R103:R122,"&gt;0")</f>
        <v>7</v>
      </c>
      <c r="U103" s="67"/>
    </row>
    <row r="104" spans="1:30" ht="20.100000000000001" customHeight="1" x14ac:dyDescent="0.45">
      <c r="A104" s="85" t="s">
        <v>186</v>
      </c>
      <c r="B104" s="84">
        <v>2</v>
      </c>
      <c r="C104" s="112" t="s">
        <v>8</v>
      </c>
      <c r="D104" s="65">
        <v>102</v>
      </c>
      <c r="E104" s="66">
        <v>0</v>
      </c>
      <c r="F104" s="80">
        <v>345</v>
      </c>
      <c r="G104" s="80">
        <v>434</v>
      </c>
      <c r="H104" s="80">
        <v>415</v>
      </c>
      <c r="I104" s="80">
        <v>426</v>
      </c>
      <c r="J104" s="80">
        <v>450</v>
      </c>
      <c r="K104" s="80">
        <v>438</v>
      </c>
      <c r="L104" s="80">
        <v>435</v>
      </c>
      <c r="M104" s="80">
        <v>426</v>
      </c>
      <c r="N104" s="80">
        <v>410</v>
      </c>
      <c r="O104" s="80">
        <v>410</v>
      </c>
      <c r="P104" s="80">
        <v>430</v>
      </c>
      <c r="Q104" s="80">
        <f>428+10</f>
        <v>438</v>
      </c>
      <c r="R104" s="83">
        <f>SUM('Cuota-Pago=Saldo'!AN107)</f>
        <v>0.50745813167185361</v>
      </c>
      <c r="T104" s="62">
        <f>COUNTIF(R103:R122,"&lt;0")</f>
        <v>13</v>
      </c>
      <c r="U104" s="68"/>
    </row>
    <row r="105" spans="1:30" ht="20.100000000000001" customHeight="1" x14ac:dyDescent="0.45">
      <c r="A105" s="85" t="s">
        <v>187</v>
      </c>
      <c r="B105" s="84">
        <v>3</v>
      </c>
      <c r="C105" s="112" t="s">
        <v>8</v>
      </c>
      <c r="D105" s="73">
        <v>103</v>
      </c>
      <c r="E105" s="66">
        <v>0</v>
      </c>
      <c r="F105" s="80"/>
      <c r="G105" s="80" t="s">
        <v>12</v>
      </c>
      <c r="H105" s="80">
        <v>700</v>
      </c>
      <c r="I105" s="80"/>
      <c r="J105" s="80">
        <v>845</v>
      </c>
      <c r="K105" s="80">
        <v>380</v>
      </c>
      <c r="L105" s="80">
        <v>400</v>
      </c>
      <c r="M105" s="80">
        <v>380</v>
      </c>
      <c r="N105" s="80">
        <v>380</v>
      </c>
      <c r="O105" s="80">
        <v>424</v>
      </c>
      <c r="P105" s="80"/>
      <c r="Q105" s="80"/>
      <c r="R105" s="83">
        <f>SUM('Cuota-Pago=Saldo'!AN108)</f>
        <v>-780.27289807703301</v>
      </c>
      <c r="T105" s="62">
        <f>SUM(T103)-20</f>
        <v>-13</v>
      </c>
      <c r="U105" s="67"/>
    </row>
    <row r="106" spans="1:30" ht="20.100000000000001" customHeight="1" x14ac:dyDescent="0.45">
      <c r="A106" s="85" t="s">
        <v>188</v>
      </c>
      <c r="B106" s="84">
        <v>4</v>
      </c>
      <c r="C106" s="112" t="s">
        <v>8</v>
      </c>
      <c r="D106" s="65">
        <v>104</v>
      </c>
      <c r="E106" s="66">
        <v>0</v>
      </c>
      <c r="F106" s="80">
        <v>310.69</v>
      </c>
      <c r="G106" s="80">
        <v>320.83</v>
      </c>
      <c r="H106" s="80">
        <v>335.89</v>
      </c>
      <c r="I106" s="80">
        <v>317.08</v>
      </c>
      <c r="J106" s="80">
        <v>339.23</v>
      </c>
      <c r="K106" s="80">
        <v>328.63</v>
      </c>
      <c r="L106" s="80">
        <v>326</v>
      </c>
      <c r="M106" s="80">
        <v>323.76</v>
      </c>
      <c r="N106" s="80">
        <v>321</v>
      </c>
      <c r="O106" s="80">
        <v>317.41000000000003</v>
      </c>
      <c r="P106" s="80">
        <v>331.57</v>
      </c>
      <c r="Q106" s="80">
        <v>386.45</v>
      </c>
      <c r="R106" s="83">
        <f>SUM('Cuota-Pago=Saldo'!AN109)</f>
        <v>-1.9929390399511249E-3</v>
      </c>
    </row>
    <row r="107" spans="1:30" ht="20.100000000000001" customHeight="1" x14ac:dyDescent="0.45">
      <c r="A107" s="86" t="s">
        <v>189</v>
      </c>
      <c r="B107" s="84">
        <v>5</v>
      </c>
      <c r="C107" s="112" t="s">
        <v>8</v>
      </c>
      <c r="D107" s="65">
        <v>201</v>
      </c>
      <c r="E107" s="66">
        <v>0</v>
      </c>
      <c r="F107" s="80"/>
      <c r="G107" s="80">
        <v>672.96</v>
      </c>
      <c r="H107" s="80"/>
      <c r="I107" s="80">
        <v>670.79</v>
      </c>
      <c r="J107" s="80"/>
      <c r="K107" s="80">
        <v>705.14</v>
      </c>
      <c r="L107" s="80"/>
      <c r="M107" s="80">
        <v>650.64</v>
      </c>
      <c r="N107" s="80"/>
      <c r="O107" s="80">
        <v>638.07000000000005</v>
      </c>
      <c r="P107" s="80"/>
      <c r="Q107" s="80">
        <v>652.13</v>
      </c>
      <c r="R107" s="83">
        <f>SUM('Cuota-Pago=Saldo'!AN110)</f>
        <v>3.4355122864440091E-3</v>
      </c>
    </row>
    <row r="108" spans="1:30" ht="20.100000000000001" customHeight="1" x14ac:dyDescent="0.45">
      <c r="A108" s="86" t="s">
        <v>323</v>
      </c>
      <c r="B108" s="84">
        <v>6</v>
      </c>
      <c r="C108" s="112" t="s">
        <v>8</v>
      </c>
      <c r="D108" s="65">
        <v>202</v>
      </c>
      <c r="E108" s="66">
        <v>0</v>
      </c>
      <c r="F108" s="80"/>
      <c r="G108" s="80">
        <v>408</v>
      </c>
      <c r="H108" s="80">
        <v>411.49</v>
      </c>
      <c r="I108" s="80">
        <v>409.13</v>
      </c>
      <c r="J108" s="80">
        <v>420.82</v>
      </c>
      <c r="K108" s="80">
        <v>408.62</v>
      </c>
      <c r="L108" s="80">
        <v>397.47</v>
      </c>
      <c r="M108" s="80">
        <v>398.34</v>
      </c>
      <c r="N108" s="80">
        <v>394.84</v>
      </c>
      <c r="O108" s="80">
        <v>390.92</v>
      </c>
      <c r="P108" s="80">
        <v>402.01</v>
      </c>
      <c r="Q108" s="80">
        <v>397.93</v>
      </c>
      <c r="R108" s="83">
        <f>SUM('Cuota-Pago=Saldo'!AN111)</f>
        <v>1.6926332870070837E-3</v>
      </c>
    </row>
    <row r="109" spans="1:30" ht="20.100000000000001" customHeight="1" x14ac:dyDescent="0.45">
      <c r="A109" s="86" t="s">
        <v>322</v>
      </c>
      <c r="B109" s="84">
        <v>7</v>
      </c>
      <c r="C109" s="112" t="s">
        <v>8</v>
      </c>
      <c r="D109" s="65">
        <v>203</v>
      </c>
      <c r="E109" s="66">
        <v>0</v>
      </c>
      <c r="F109" s="80">
        <v>315.99</v>
      </c>
      <c r="G109" s="80">
        <v>364.82</v>
      </c>
      <c r="H109" s="80">
        <v>365.31</v>
      </c>
      <c r="I109" s="80">
        <v>354.59</v>
      </c>
      <c r="J109" s="80">
        <v>374.88</v>
      </c>
      <c r="K109" s="80">
        <v>369.52</v>
      </c>
      <c r="L109" s="80">
        <v>365.13</v>
      </c>
      <c r="M109" s="80">
        <v>360.56</v>
      </c>
      <c r="N109" s="80">
        <v>361.2</v>
      </c>
      <c r="O109" s="80">
        <v>357.43</v>
      </c>
      <c r="P109" s="80">
        <v>341.34</v>
      </c>
      <c r="Q109" s="80">
        <v>345.83</v>
      </c>
      <c r="R109" s="83">
        <f>SUM('Cuota-Pago=Saldo'!AN112)</f>
        <v>3.7554595721189798E-3</v>
      </c>
    </row>
    <row r="110" spans="1:30" s="61" customFormat="1" ht="20.100000000000001" customHeight="1" x14ac:dyDescent="0.45">
      <c r="A110" s="86" t="s">
        <v>321</v>
      </c>
      <c r="B110" s="84">
        <v>8</v>
      </c>
      <c r="C110" s="112" t="s">
        <v>8</v>
      </c>
      <c r="D110" s="65">
        <v>204</v>
      </c>
      <c r="E110" s="66">
        <v>0</v>
      </c>
      <c r="F110" s="80">
        <v>330.27</v>
      </c>
      <c r="G110" s="80"/>
      <c r="H110" s="80"/>
      <c r="I110" s="80"/>
      <c r="J110" s="80">
        <v>1639.3</v>
      </c>
      <c r="K110" s="80"/>
      <c r="L110" s="80">
        <v>760.48</v>
      </c>
      <c r="M110" s="80">
        <v>369.25</v>
      </c>
      <c r="N110" s="80">
        <v>372.24</v>
      </c>
      <c r="O110" s="80">
        <v>368.41</v>
      </c>
      <c r="P110" s="80">
        <v>414.15</v>
      </c>
      <c r="Q110" s="80"/>
      <c r="R110" s="83">
        <f>SUM('Cuota-Pago=Saldo'!AN113)</f>
        <v>-397.70593316347919</v>
      </c>
      <c r="S110" s="72"/>
      <c r="T110" s="62"/>
      <c r="U110" s="62"/>
      <c r="V110"/>
      <c r="W110"/>
      <c r="X110"/>
      <c r="Y110"/>
      <c r="Z110"/>
      <c r="AA110"/>
      <c r="AB110"/>
      <c r="AC110"/>
      <c r="AD110"/>
    </row>
    <row r="111" spans="1:30" s="61" customFormat="1" ht="20.100000000000001" customHeight="1" x14ac:dyDescent="0.45">
      <c r="A111" s="86" t="s">
        <v>193</v>
      </c>
      <c r="B111" s="84">
        <v>9</v>
      </c>
      <c r="C111" s="112" t="s">
        <v>8</v>
      </c>
      <c r="D111" s="65">
        <v>301</v>
      </c>
      <c r="E111" s="66">
        <v>0</v>
      </c>
      <c r="F111" s="80">
        <v>333.06</v>
      </c>
      <c r="G111" s="80">
        <v>370.8</v>
      </c>
      <c r="H111" s="80">
        <v>368.2</v>
      </c>
      <c r="I111" s="80">
        <v>361.7</v>
      </c>
      <c r="J111" s="80">
        <v>390.88</v>
      </c>
      <c r="K111" s="80">
        <v>371.01</v>
      </c>
      <c r="L111" s="80">
        <v>355.88</v>
      </c>
      <c r="M111" s="80">
        <v>376.94</v>
      </c>
      <c r="N111" s="80">
        <v>371</v>
      </c>
      <c r="O111" s="80">
        <v>367.09</v>
      </c>
      <c r="P111" s="80">
        <v>389.73</v>
      </c>
      <c r="Q111" s="80">
        <v>366.11</v>
      </c>
      <c r="R111" s="83">
        <f>SUM('Cuota-Pago=Saldo'!AN114)</f>
        <v>9.8512030797337502E-4</v>
      </c>
      <c r="S111" s="72"/>
      <c r="T111" s="62"/>
      <c r="U111" s="62"/>
      <c r="V111"/>
      <c r="W111"/>
      <c r="X111"/>
      <c r="Y111"/>
      <c r="Z111"/>
      <c r="AA111"/>
      <c r="AB111"/>
      <c r="AC111"/>
      <c r="AD111"/>
    </row>
    <row r="112" spans="1:30" s="61" customFormat="1" ht="20.100000000000001" customHeight="1" x14ac:dyDescent="0.45">
      <c r="A112" s="86" t="s">
        <v>194</v>
      </c>
      <c r="B112" s="84">
        <v>10</v>
      </c>
      <c r="C112" s="112" t="s">
        <v>8</v>
      </c>
      <c r="D112" s="65">
        <v>302</v>
      </c>
      <c r="E112" s="66">
        <v>0</v>
      </c>
      <c r="F112" s="80" t="s">
        <v>12</v>
      </c>
      <c r="G112" s="80">
        <v>686.09</v>
      </c>
      <c r="H112" s="80">
        <v>357.2</v>
      </c>
      <c r="I112" s="80">
        <v>500</v>
      </c>
      <c r="J112" s="80">
        <v>217.9</v>
      </c>
      <c r="K112" s="80">
        <v>361.49</v>
      </c>
      <c r="L112" s="80">
        <v>400</v>
      </c>
      <c r="M112" s="80">
        <v>300</v>
      </c>
      <c r="N112" s="80">
        <v>500</v>
      </c>
      <c r="O112" s="80"/>
      <c r="P112" s="80"/>
      <c r="Q112" s="80"/>
      <c r="R112" s="83">
        <f>SUM('Cuota-Pago=Saldo'!AN115)</f>
        <v>-932.96105763026105</v>
      </c>
      <c r="S112" s="72"/>
      <c r="T112" s="62"/>
      <c r="U112" s="62"/>
      <c r="V112"/>
      <c r="W112"/>
      <c r="X112"/>
      <c r="Y112"/>
      <c r="Z112"/>
      <c r="AA112"/>
      <c r="AB112"/>
      <c r="AC112"/>
      <c r="AD112"/>
    </row>
    <row r="113" spans="1:30" s="61" customFormat="1" ht="20.100000000000001" customHeight="1" x14ac:dyDescent="0.45">
      <c r="A113" s="85" t="s">
        <v>195</v>
      </c>
      <c r="B113" s="84">
        <v>11</v>
      </c>
      <c r="C113" s="112" t="s">
        <v>8</v>
      </c>
      <c r="D113" s="65">
        <v>303</v>
      </c>
      <c r="E113" s="66">
        <v>0</v>
      </c>
      <c r="F113" s="80">
        <v>348.74</v>
      </c>
      <c r="G113" s="80">
        <v>426.11</v>
      </c>
      <c r="H113" s="80">
        <v>432.57</v>
      </c>
      <c r="I113" s="80">
        <v>426.1</v>
      </c>
      <c r="J113" s="80">
        <v>417.48</v>
      </c>
      <c r="K113" s="80">
        <v>445.02</v>
      </c>
      <c r="L113" s="80">
        <v>449.47</v>
      </c>
      <c r="M113" s="80">
        <v>446.56</v>
      </c>
      <c r="N113" s="80">
        <v>466.56</v>
      </c>
      <c r="O113" s="80">
        <v>462.31</v>
      </c>
      <c r="P113" s="80">
        <v>348.54</v>
      </c>
      <c r="Q113" s="80">
        <v>458.2</v>
      </c>
      <c r="R113" s="83">
        <f>SUM('Cuota-Pago=Saldo'!AN116)</f>
        <v>2.8981696917185218E-3</v>
      </c>
      <c r="S113" s="72"/>
      <c r="T113" s="62"/>
      <c r="U113" s="62"/>
      <c r="V113"/>
      <c r="W113"/>
      <c r="X113"/>
      <c r="Y113"/>
      <c r="Z113"/>
      <c r="AA113"/>
      <c r="AB113"/>
      <c r="AC113"/>
      <c r="AD113"/>
    </row>
    <row r="114" spans="1:30" s="61" customFormat="1" ht="20.100000000000001" customHeight="1" x14ac:dyDescent="0.45">
      <c r="A114" s="85" t="s">
        <v>196</v>
      </c>
      <c r="B114" s="84">
        <v>12</v>
      </c>
      <c r="C114" s="112" t="s">
        <v>8</v>
      </c>
      <c r="D114" s="65">
        <v>304</v>
      </c>
      <c r="E114" s="66">
        <v>0</v>
      </c>
      <c r="F114" s="80"/>
      <c r="G114" s="80">
        <f>721.78-27.14</f>
        <v>694.64</v>
      </c>
      <c r="H114" s="80">
        <v>350</v>
      </c>
      <c r="I114" s="80">
        <v>379.63</v>
      </c>
      <c r="J114" s="80">
        <v>379.84</v>
      </c>
      <c r="K114" s="80"/>
      <c r="L114" s="80">
        <v>729.21</v>
      </c>
      <c r="M114" s="80">
        <v>350</v>
      </c>
      <c r="N114" s="80">
        <v>406.16</v>
      </c>
      <c r="O114" s="80">
        <v>350</v>
      </c>
      <c r="P114" s="80">
        <v>404.72</v>
      </c>
      <c r="Q114" s="80">
        <v>350</v>
      </c>
      <c r="R114" s="83">
        <f>SUM('Cuota-Pago=Saldo'!AN117)</f>
        <v>-14.160524665613082</v>
      </c>
      <c r="S114" s="72"/>
      <c r="T114" s="62"/>
      <c r="U114" s="62"/>
      <c r="V114"/>
      <c r="W114"/>
      <c r="X114"/>
      <c r="Y114"/>
      <c r="Z114"/>
      <c r="AA114"/>
      <c r="AB114"/>
      <c r="AC114"/>
      <c r="AD114"/>
    </row>
    <row r="115" spans="1:30" s="61" customFormat="1" ht="20.100000000000001" customHeight="1" x14ac:dyDescent="0.45">
      <c r="A115" s="85" t="s">
        <v>197</v>
      </c>
      <c r="B115" s="84">
        <v>13</v>
      </c>
      <c r="C115" s="112" t="s">
        <v>8</v>
      </c>
      <c r="D115" s="65">
        <v>401</v>
      </c>
      <c r="E115" s="66">
        <v>0</v>
      </c>
      <c r="F115" s="80">
        <f>237.47-6</f>
        <v>231.47</v>
      </c>
      <c r="G115" s="80">
        <v>371.89</v>
      </c>
      <c r="H115" s="80">
        <v>377.27</v>
      </c>
      <c r="I115" s="80">
        <v>469.57</v>
      </c>
      <c r="J115" s="80">
        <v>382.24</v>
      </c>
      <c r="K115" s="80">
        <v>377.81</v>
      </c>
      <c r="L115" s="80">
        <v>379.56</v>
      </c>
      <c r="M115" s="80">
        <v>365.32</v>
      </c>
      <c r="N115" s="80">
        <v>378.69</v>
      </c>
      <c r="O115" s="80">
        <v>374.83</v>
      </c>
      <c r="P115" s="80">
        <v>377.41</v>
      </c>
      <c r="Q115" s="80"/>
      <c r="R115" s="83">
        <f>SUM('Cuota-Pago=Saldo'!AN118)</f>
        <v>-379.7098626996534</v>
      </c>
      <c r="S115" s="62" t="s">
        <v>12</v>
      </c>
      <c r="T115" s="62"/>
      <c r="U115" s="62"/>
      <c r="V115"/>
      <c r="W115"/>
      <c r="X115"/>
      <c r="Y115"/>
      <c r="Z115"/>
      <c r="AA115"/>
      <c r="AB115"/>
      <c r="AC115"/>
      <c r="AD115"/>
    </row>
    <row r="116" spans="1:30" s="61" customFormat="1" ht="20.100000000000001" customHeight="1" x14ac:dyDescent="0.45">
      <c r="A116" s="85" t="s">
        <v>198</v>
      </c>
      <c r="B116" s="84">
        <v>14</v>
      </c>
      <c r="C116" s="112" t="s">
        <v>8</v>
      </c>
      <c r="D116" s="65">
        <v>402</v>
      </c>
      <c r="E116" s="66">
        <v>0</v>
      </c>
      <c r="F116" s="80">
        <v>313.36</v>
      </c>
      <c r="G116" s="80">
        <v>322.81</v>
      </c>
      <c r="H116" s="80">
        <v>330.29</v>
      </c>
      <c r="I116" s="80">
        <v>314.83</v>
      </c>
      <c r="J116" s="80">
        <v>341.99</v>
      </c>
      <c r="K116" s="80">
        <v>329.6</v>
      </c>
      <c r="L116" s="80">
        <v>327.01</v>
      </c>
      <c r="M116" s="80">
        <v>323.17</v>
      </c>
      <c r="N116" s="80">
        <v>322.02</v>
      </c>
      <c r="O116" s="80">
        <v>318.42</v>
      </c>
      <c r="P116" s="80">
        <v>325.39</v>
      </c>
      <c r="Q116" s="80">
        <v>337.82</v>
      </c>
      <c r="R116" s="83">
        <f>SUM('Cuota-Pago=Saldo'!AN119)</f>
        <v>-4.7645616168097149E-3</v>
      </c>
      <c r="S116" s="72"/>
      <c r="T116" s="62"/>
      <c r="U116" s="62"/>
      <c r="V116"/>
      <c r="W116"/>
      <c r="X116"/>
      <c r="Y116"/>
      <c r="Z116"/>
      <c r="AA116"/>
      <c r="AB116"/>
      <c r="AC116"/>
      <c r="AD116"/>
    </row>
    <row r="117" spans="1:30" s="61" customFormat="1" ht="20.100000000000001" customHeight="1" x14ac:dyDescent="0.45">
      <c r="A117" s="85" t="s">
        <v>199</v>
      </c>
      <c r="B117" s="84">
        <v>15</v>
      </c>
      <c r="C117" s="112" t="s">
        <v>8</v>
      </c>
      <c r="D117" s="71">
        <v>403</v>
      </c>
      <c r="E117" s="66">
        <v>0</v>
      </c>
      <c r="F117" s="80"/>
      <c r="G117" s="80">
        <v>324.55</v>
      </c>
      <c r="H117" s="80"/>
      <c r="I117" s="80">
        <v>657.52</v>
      </c>
      <c r="J117" s="80"/>
      <c r="K117" s="80">
        <v>500</v>
      </c>
      <c r="L117" s="80"/>
      <c r="M117" s="80"/>
      <c r="N117" s="80">
        <v>1157.2</v>
      </c>
      <c r="O117" s="80"/>
      <c r="P117" s="80"/>
      <c r="Q117" s="80"/>
      <c r="R117" s="83">
        <f>SUM('Cuota-Pago=Saldo'!AN120)</f>
        <v>-991.72464897937243</v>
      </c>
      <c r="S117" s="72"/>
      <c r="T117" s="62"/>
      <c r="U117" s="62"/>
      <c r="V117"/>
      <c r="W117"/>
      <c r="X117"/>
      <c r="Y117"/>
      <c r="Z117"/>
      <c r="AA117"/>
      <c r="AB117"/>
      <c r="AC117"/>
      <c r="AD117"/>
    </row>
    <row r="118" spans="1:30" s="61" customFormat="1" ht="20.100000000000001" customHeight="1" x14ac:dyDescent="0.45">
      <c r="A118" s="85" t="s">
        <v>200</v>
      </c>
      <c r="B118" s="84">
        <v>16</v>
      </c>
      <c r="C118" s="112" t="s">
        <v>8</v>
      </c>
      <c r="D118" s="65">
        <v>404</v>
      </c>
      <c r="E118" s="66">
        <v>0</v>
      </c>
      <c r="F118" s="80"/>
      <c r="G118" s="80"/>
      <c r="H118" s="80"/>
      <c r="I118" s="80" t="s">
        <v>12</v>
      </c>
      <c r="J118" s="80">
        <v>1000</v>
      </c>
      <c r="K118" s="80"/>
      <c r="L118" s="80"/>
      <c r="M118" s="80"/>
      <c r="N118" s="80"/>
      <c r="O118" s="80">
        <v>2000</v>
      </c>
      <c r="P118" s="80"/>
      <c r="Q118" s="80"/>
      <c r="R118" s="83">
        <f>SUM('Cuota-Pago=Saldo'!AN121)</f>
        <v>-674.06569587372951</v>
      </c>
      <c r="T118" s="302" t="s">
        <v>348</v>
      </c>
      <c r="U118" s="302"/>
      <c r="V118" s="302"/>
      <c r="W118" s="302"/>
      <c r="X118" s="302"/>
      <c r="Y118" s="302"/>
      <c r="Z118"/>
      <c r="AA118"/>
      <c r="AB118"/>
      <c r="AC118"/>
      <c r="AD118"/>
    </row>
    <row r="119" spans="1:30" s="61" customFormat="1" ht="20.100000000000001" customHeight="1" x14ac:dyDescent="0.45">
      <c r="A119" s="85" t="s">
        <v>201</v>
      </c>
      <c r="B119" s="84">
        <v>17</v>
      </c>
      <c r="C119" s="112" t="s">
        <v>8</v>
      </c>
      <c r="D119" s="65">
        <v>501</v>
      </c>
      <c r="E119" s="66">
        <v>0</v>
      </c>
      <c r="F119" s="80">
        <v>338.5</v>
      </c>
      <c r="G119" s="80">
        <v>393.91</v>
      </c>
      <c r="H119" s="80">
        <v>385.71</v>
      </c>
      <c r="I119" s="80">
        <v>394.95</v>
      </c>
      <c r="J119" s="80"/>
      <c r="K119" s="80">
        <v>795</v>
      </c>
      <c r="L119" s="80">
        <v>477.75</v>
      </c>
      <c r="M119" s="80">
        <v>418.92</v>
      </c>
      <c r="N119" s="80">
        <v>432.2</v>
      </c>
      <c r="O119" s="80">
        <v>428.11</v>
      </c>
      <c r="P119" s="80">
        <v>401.55</v>
      </c>
      <c r="Q119" s="80">
        <v>417.4</v>
      </c>
      <c r="R119" s="83">
        <f>SUM('Cuota-Pago=Saldo'!AN122)</f>
        <v>4.1979788393291528E-3</v>
      </c>
      <c r="S119" s="72"/>
      <c r="T119" s="62"/>
      <c r="U119" s="62"/>
      <c r="V119"/>
      <c r="W119"/>
      <c r="X119"/>
      <c r="Y119"/>
      <c r="Z119"/>
      <c r="AA119"/>
      <c r="AB119"/>
      <c r="AC119"/>
      <c r="AD119"/>
    </row>
    <row r="120" spans="1:30" s="61" customFormat="1" ht="20.100000000000001" customHeight="1" x14ac:dyDescent="0.45">
      <c r="A120" s="85" t="s">
        <v>202</v>
      </c>
      <c r="B120" s="84">
        <v>18</v>
      </c>
      <c r="C120" s="112" t="s">
        <v>8</v>
      </c>
      <c r="D120" s="65">
        <v>502</v>
      </c>
      <c r="E120" s="66">
        <v>0</v>
      </c>
      <c r="F120" s="80">
        <v>373.82</v>
      </c>
      <c r="G120" s="80">
        <v>470.77</v>
      </c>
      <c r="H120" s="80">
        <v>488.77</v>
      </c>
      <c r="I120" s="80">
        <v>486.35</v>
      </c>
      <c r="J120" s="80">
        <v>493.38</v>
      </c>
      <c r="K120" s="80">
        <v>492</v>
      </c>
      <c r="L120" s="80">
        <v>477</v>
      </c>
      <c r="M120" s="80">
        <v>477.37</v>
      </c>
      <c r="N120" s="80">
        <v>463.72</v>
      </c>
      <c r="O120" s="80">
        <v>459.5</v>
      </c>
      <c r="P120" s="80">
        <v>488.06</v>
      </c>
      <c r="Q120" s="80">
        <v>471.63</v>
      </c>
      <c r="R120" s="83">
        <f>SUM('Cuota-Pago=Saldo'!AN123)</f>
        <v>-1.6757529721189712E-3</v>
      </c>
      <c r="S120" s="72"/>
      <c r="T120" s="62"/>
      <c r="U120" s="62"/>
      <c r="V120"/>
      <c r="W120"/>
      <c r="X120"/>
      <c r="Y120"/>
      <c r="Z120"/>
      <c r="AA120"/>
      <c r="AB120"/>
      <c r="AC120"/>
      <c r="AD120"/>
    </row>
    <row r="121" spans="1:30" s="61" customFormat="1" ht="20.100000000000001" customHeight="1" x14ac:dyDescent="0.45">
      <c r="A121" s="85" t="s">
        <v>203</v>
      </c>
      <c r="B121" s="84">
        <v>19</v>
      </c>
      <c r="C121" s="112" t="s">
        <v>8</v>
      </c>
      <c r="D121" s="65">
        <v>503</v>
      </c>
      <c r="E121" s="66">
        <v>0</v>
      </c>
      <c r="F121" s="80">
        <v>328.61</v>
      </c>
      <c r="G121" s="80">
        <v>382.31</v>
      </c>
      <c r="H121" s="80">
        <v>384.2</v>
      </c>
      <c r="I121" s="80">
        <v>355.58</v>
      </c>
      <c r="J121" s="80">
        <v>396.28</v>
      </c>
      <c r="K121" s="80">
        <v>375</v>
      </c>
      <c r="L121" s="80">
        <v>366.25</v>
      </c>
      <c r="M121" s="80">
        <v>381.74</v>
      </c>
      <c r="N121" s="80">
        <v>388.1</v>
      </c>
      <c r="O121" s="80">
        <v>384.21</v>
      </c>
      <c r="P121" s="80">
        <v>336.88</v>
      </c>
      <c r="Q121" s="80"/>
      <c r="R121" s="83">
        <f>SUM('Cuota-Pago=Saldo'!AN124)</f>
        <v>-372.98585329368865</v>
      </c>
      <c r="S121" s="72"/>
      <c r="T121" s="62"/>
      <c r="U121" s="62"/>
      <c r="V121"/>
      <c r="W121"/>
      <c r="X121"/>
      <c r="Y121"/>
      <c r="Z121"/>
      <c r="AA121"/>
      <c r="AB121"/>
      <c r="AC121"/>
      <c r="AD121"/>
    </row>
    <row r="122" spans="1:30" s="61" customFormat="1" ht="20.100000000000001" customHeight="1" x14ac:dyDescent="0.45">
      <c r="A122" s="85" t="s">
        <v>204</v>
      </c>
      <c r="B122" s="84">
        <v>20</v>
      </c>
      <c r="C122" s="112" t="s">
        <v>8</v>
      </c>
      <c r="D122" s="65">
        <v>504</v>
      </c>
      <c r="E122" s="66">
        <v>0</v>
      </c>
      <c r="F122" s="80"/>
      <c r="G122" s="80">
        <v>841.15</v>
      </c>
      <c r="H122" s="80">
        <v>454</v>
      </c>
      <c r="I122" s="80"/>
      <c r="J122" s="80">
        <v>896.2</v>
      </c>
      <c r="K122" s="80">
        <v>461.1</v>
      </c>
      <c r="L122" s="80">
        <v>430</v>
      </c>
      <c r="M122" s="80">
        <v>400</v>
      </c>
      <c r="N122" s="80">
        <v>429.5</v>
      </c>
      <c r="O122" s="80">
        <v>433</v>
      </c>
      <c r="P122" s="80">
        <v>421</v>
      </c>
      <c r="Q122" s="80"/>
      <c r="R122" s="83">
        <f>SUM('Cuota-Pago=Saldo'!AN125)</f>
        <v>-442.96498594386861</v>
      </c>
      <c r="S122" s="72"/>
      <c r="T122" s="62"/>
      <c r="U122" s="62"/>
      <c r="V122"/>
      <c r="W122"/>
      <c r="X122"/>
      <c r="Y122"/>
      <c r="Z122"/>
      <c r="AA122"/>
      <c r="AB122"/>
      <c r="AC122"/>
      <c r="AD122"/>
    </row>
    <row r="123" spans="1:30" ht="20.100000000000001" customHeight="1" x14ac:dyDescent="0.45">
      <c r="A123" s="69" t="s">
        <v>205</v>
      </c>
      <c r="B123" s="64">
        <v>1</v>
      </c>
      <c r="C123" s="112" t="s">
        <v>9</v>
      </c>
      <c r="D123" s="65">
        <v>101</v>
      </c>
      <c r="E123" s="66">
        <v>0</v>
      </c>
      <c r="F123" s="80">
        <v>331.8</v>
      </c>
      <c r="G123" s="80">
        <v>367.75</v>
      </c>
      <c r="H123" s="80">
        <v>391.51</v>
      </c>
      <c r="I123" s="80">
        <v>393.35</v>
      </c>
      <c r="J123" s="80">
        <v>411.17</v>
      </c>
      <c r="K123" s="80">
        <v>414.92</v>
      </c>
      <c r="L123" s="80">
        <v>401.57</v>
      </c>
      <c r="M123" s="80">
        <v>355.09</v>
      </c>
      <c r="N123" s="80">
        <v>380.29</v>
      </c>
      <c r="O123" s="80">
        <v>376.42</v>
      </c>
      <c r="P123" s="80">
        <v>411.26</v>
      </c>
      <c r="Q123" s="80">
        <v>411.21</v>
      </c>
      <c r="R123" s="83">
        <f>SUM('Cuota-Pago=Saldo'!AN126)</f>
        <v>-4.9589832648848642E-3</v>
      </c>
      <c r="T123" s="62">
        <f>COUNTIF(R123:R142,"&gt;0")</f>
        <v>4</v>
      </c>
      <c r="U123" s="67"/>
    </row>
    <row r="124" spans="1:30" ht="20.100000000000001" customHeight="1" x14ac:dyDescent="0.45">
      <c r="A124" s="69" t="s">
        <v>206</v>
      </c>
      <c r="B124" s="64">
        <v>2</v>
      </c>
      <c r="C124" s="112" t="s">
        <v>9</v>
      </c>
      <c r="D124" s="65">
        <v>102</v>
      </c>
      <c r="E124" s="66">
        <v>0</v>
      </c>
      <c r="F124" s="80">
        <v>315.02999999999997</v>
      </c>
      <c r="G124" s="80">
        <v>329.08</v>
      </c>
      <c r="H124" s="80">
        <v>334.54</v>
      </c>
      <c r="I124" s="80">
        <v>324.86</v>
      </c>
      <c r="J124" s="80">
        <v>362.8</v>
      </c>
      <c r="K124" s="80">
        <v>353.08</v>
      </c>
      <c r="L124" s="80">
        <v>334</v>
      </c>
      <c r="M124" s="80">
        <v>332.43</v>
      </c>
      <c r="N124" s="80">
        <v>330.77</v>
      </c>
      <c r="O124" s="80">
        <v>327.14</v>
      </c>
      <c r="P124" s="80">
        <v>327.14</v>
      </c>
      <c r="Q124" s="80"/>
      <c r="R124" s="83">
        <f>SUM('Cuota-Pago=Saldo'!AN127)</f>
        <v>-329.4316134817222</v>
      </c>
      <c r="T124" s="62">
        <f>COUNTIF(R123:R142,"&lt;0")</f>
        <v>16</v>
      </c>
      <c r="U124" s="68"/>
    </row>
    <row r="125" spans="1:30" ht="20.100000000000001" customHeight="1" x14ac:dyDescent="0.45">
      <c r="A125" s="63" t="s">
        <v>207</v>
      </c>
      <c r="B125" s="64">
        <v>3</v>
      </c>
      <c r="C125" s="112" t="s">
        <v>9</v>
      </c>
      <c r="D125" s="65">
        <v>103</v>
      </c>
      <c r="E125" s="66">
        <v>0</v>
      </c>
      <c r="F125" s="80"/>
      <c r="G125" s="80"/>
      <c r="H125" s="80"/>
      <c r="I125" s="80">
        <v>1331.83</v>
      </c>
      <c r="J125" s="80"/>
      <c r="K125" s="80"/>
      <c r="L125" s="80"/>
      <c r="M125" s="80">
        <v>1779.36</v>
      </c>
      <c r="N125" s="80">
        <v>350</v>
      </c>
      <c r="O125" s="80"/>
      <c r="P125" s="80">
        <f>850+21.77</f>
        <v>871.77</v>
      </c>
      <c r="Q125" s="80"/>
      <c r="R125" s="83">
        <f>SUM('Cuota-Pago=Saldo'!AN128)</f>
        <v>-349.6076034805742</v>
      </c>
      <c r="T125" s="62">
        <f>SUM(T123)-20</f>
        <v>-16</v>
      </c>
      <c r="U125" s="67"/>
    </row>
    <row r="126" spans="1:30" ht="20.100000000000001" customHeight="1" x14ac:dyDescent="0.45">
      <c r="A126" s="69" t="s">
        <v>208</v>
      </c>
      <c r="B126" s="64">
        <v>4</v>
      </c>
      <c r="C126" s="112" t="s">
        <v>9</v>
      </c>
      <c r="D126" s="65">
        <v>104</v>
      </c>
      <c r="E126" s="66">
        <v>0</v>
      </c>
      <c r="F126" s="80">
        <v>300</v>
      </c>
      <c r="G126" s="80">
        <v>300</v>
      </c>
      <c r="H126" s="80">
        <v>300</v>
      </c>
      <c r="I126" s="80">
        <v>300</v>
      </c>
      <c r="J126" s="80">
        <v>316</v>
      </c>
      <c r="K126" s="80">
        <f>300+62</f>
        <v>362</v>
      </c>
      <c r="L126" s="80">
        <f>57.6+310</f>
        <v>367.6</v>
      </c>
      <c r="M126" s="80">
        <v>396.24</v>
      </c>
      <c r="N126" s="80">
        <v>386.22</v>
      </c>
      <c r="O126" s="80">
        <v>382.33</v>
      </c>
      <c r="P126" s="80">
        <v>389.16</v>
      </c>
      <c r="Q126" s="80"/>
      <c r="R126" s="83">
        <f>SUM('Cuota-Pago=Saldo'!AN129)</f>
        <v>-393.16699251464331</v>
      </c>
    </row>
    <row r="127" spans="1:30" ht="20.100000000000001" customHeight="1" x14ac:dyDescent="0.45">
      <c r="A127" s="63" t="s">
        <v>209</v>
      </c>
      <c r="B127" s="64">
        <v>5</v>
      </c>
      <c r="C127" s="112" t="s">
        <v>9</v>
      </c>
      <c r="D127" s="65">
        <v>201</v>
      </c>
      <c r="E127" s="66">
        <v>0</v>
      </c>
      <c r="F127" s="80">
        <v>328</v>
      </c>
      <c r="G127" s="80">
        <v>367</v>
      </c>
      <c r="H127" s="80">
        <v>370</v>
      </c>
      <c r="I127" s="80">
        <v>366</v>
      </c>
      <c r="J127" s="80">
        <v>379.55</v>
      </c>
      <c r="K127" s="80">
        <v>390</v>
      </c>
      <c r="L127" s="80">
        <v>369</v>
      </c>
      <c r="M127" s="80">
        <v>358</v>
      </c>
      <c r="N127" s="80">
        <v>372.15</v>
      </c>
      <c r="O127" s="80">
        <v>369</v>
      </c>
      <c r="P127" s="80">
        <v>375.38</v>
      </c>
      <c r="Q127" s="80">
        <v>372</v>
      </c>
      <c r="R127" s="83">
        <f>SUM('Cuota-Pago=Saldo'!AN130)</f>
        <v>0.62850742993674658</v>
      </c>
    </row>
    <row r="128" spans="1:30" ht="20.100000000000001" customHeight="1" x14ac:dyDescent="0.45">
      <c r="A128" s="63" t="s">
        <v>210</v>
      </c>
      <c r="B128" s="64">
        <v>6</v>
      </c>
      <c r="C128" s="112" t="s">
        <v>9</v>
      </c>
      <c r="D128" s="65">
        <v>202</v>
      </c>
      <c r="E128" s="66">
        <v>0</v>
      </c>
      <c r="F128" s="80">
        <f>329-0.06</f>
        <v>328.94</v>
      </c>
      <c r="G128" s="80">
        <v>364</v>
      </c>
      <c r="H128" s="80">
        <v>379.8</v>
      </c>
      <c r="I128" s="80">
        <v>374.6</v>
      </c>
      <c r="J128" s="80">
        <v>399</v>
      </c>
      <c r="K128" s="80">
        <v>394.1</v>
      </c>
      <c r="L128" s="80">
        <v>398.8</v>
      </c>
      <c r="M128" s="80">
        <v>383.5</v>
      </c>
      <c r="N128" s="80">
        <v>390.6</v>
      </c>
      <c r="O128" s="80">
        <v>386.7</v>
      </c>
      <c r="P128" s="80">
        <v>385.8</v>
      </c>
      <c r="Q128" s="80">
        <f>285.35+100</f>
        <v>385.35</v>
      </c>
      <c r="R128" s="83">
        <f>SUM('Cuota-Pago=Saldo'!AN131)</f>
        <v>1.1615010835157591E-3</v>
      </c>
    </row>
    <row r="129" spans="1:30" ht="20.100000000000001" customHeight="1" x14ac:dyDescent="0.45">
      <c r="A129" s="63" t="s">
        <v>211</v>
      </c>
      <c r="B129" s="64">
        <v>7</v>
      </c>
      <c r="C129" s="112" t="s">
        <v>9</v>
      </c>
      <c r="D129" s="65">
        <v>203</v>
      </c>
      <c r="E129" s="66">
        <v>0</v>
      </c>
      <c r="F129" s="80"/>
      <c r="G129" s="80" t="s">
        <v>12</v>
      </c>
      <c r="H129" s="80">
        <v>600</v>
      </c>
      <c r="I129" s="80"/>
      <c r="J129" s="80"/>
      <c r="K129" s="80"/>
      <c r="L129" s="80">
        <v>1300.17</v>
      </c>
      <c r="M129" s="80">
        <v>325</v>
      </c>
      <c r="N129" s="80">
        <v>359.08</v>
      </c>
      <c r="O129" s="80">
        <v>357.15</v>
      </c>
      <c r="P129" s="80"/>
      <c r="Q129" s="80"/>
      <c r="R129" s="83">
        <f>SUM('Cuota-Pago=Saldo'!AN132)</f>
        <v>-796.4111105860959</v>
      </c>
    </row>
    <row r="130" spans="1:30" s="61" customFormat="1" ht="20.100000000000001" customHeight="1" x14ac:dyDescent="0.45">
      <c r="A130" s="63" t="s">
        <v>212</v>
      </c>
      <c r="B130" s="64">
        <v>8</v>
      </c>
      <c r="C130" s="112" t="s">
        <v>9</v>
      </c>
      <c r="D130" s="65">
        <v>204</v>
      </c>
      <c r="E130" s="66">
        <v>0</v>
      </c>
      <c r="F130" s="80">
        <v>322.12</v>
      </c>
      <c r="G130" s="80">
        <v>406.23</v>
      </c>
      <c r="H130" s="80">
        <v>302</v>
      </c>
      <c r="I130" s="80"/>
      <c r="J130" s="80">
        <v>710.46</v>
      </c>
      <c r="K130" s="80"/>
      <c r="L130" s="80">
        <v>734.65</v>
      </c>
      <c r="M130" s="80">
        <v>355.05</v>
      </c>
      <c r="N130" s="80"/>
      <c r="O130" s="80"/>
      <c r="P130" s="80">
        <v>1040.48</v>
      </c>
      <c r="Q130" s="80">
        <v>490.53</v>
      </c>
      <c r="R130" s="83">
        <f>SUM('Cuota-Pago=Saldo'!AN133)</f>
        <v>-2.0663792168988948E-3</v>
      </c>
      <c r="S130" s="72"/>
      <c r="T130" s="62"/>
      <c r="U130" s="62"/>
      <c r="V130"/>
      <c r="W130"/>
      <c r="X130"/>
      <c r="Y130"/>
      <c r="Z130"/>
      <c r="AA130"/>
      <c r="AB130"/>
      <c r="AC130"/>
      <c r="AD130"/>
    </row>
    <row r="131" spans="1:30" s="61" customFormat="1" ht="20.100000000000001" customHeight="1" x14ac:dyDescent="0.45">
      <c r="A131" s="63" t="s">
        <v>213</v>
      </c>
      <c r="B131" s="64">
        <v>9</v>
      </c>
      <c r="C131" s="112" t="s">
        <v>9</v>
      </c>
      <c r="D131" s="65">
        <v>301</v>
      </c>
      <c r="E131" s="66">
        <v>0</v>
      </c>
      <c r="F131" s="80">
        <f>347-0.86</f>
        <v>346.14</v>
      </c>
      <c r="G131" s="80">
        <v>302</v>
      </c>
      <c r="H131" s="80">
        <v>490</v>
      </c>
      <c r="I131" s="80">
        <v>390</v>
      </c>
      <c r="J131" s="80">
        <v>437</v>
      </c>
      <c r="K131" s="80">
        <v>437</v>
      </c>
      <c r="L131" s="80">
        <v>420</v>
      </c>
      <c r="M131" s="80">
        <v>383</v>
      </c>
      <c r="N131" s="80">
        <v>390</v>
      </c>
      <c r="O131" s="80">
        <v>390</v>
      </c>
      <c r="P131" s="80">
        <v>428</v>
      </c>
      <c r="Q131" s="80"/>
      <c r="R131" s="83">
        <f>SUM('Cuota-Pago=Saldo'!AN134)</f>
        <v>-512.44717965316897</v>
      </c>
      <c r="S131" s="72"/>
      <c r="T131" s="62"/>
      <c r="U131" s="62"/>
      <c r="V131"/>
      <c r="W131"/>
      <c r="X131"/>
      <c r="Y131"/>
      <c r="Z131"/>
      <c r="AA131"/>
      <c r="AB131"/>
      <c r="AC131"/>
      <c r="AD131"/>
    </row>
    <row r="132" spans="1:30" s="61" customFormat="1" ht="20.100000000000001" customHeight="1" x14ac:dyDescent="0.45">
      <c r="A132" s="63" t="s">
        <v>214</v>
      </c>
      <c r="B132" s="64">
        <v>10</v>
      </c>
      <c r="C132" s="112" t="s">
        <v>9</v>
      </c>
      <c r="D132" s="65">
        <v>302</v>
      </c>
      <c r="E132" s="66">
        <v>0</v>
      </c>
      <c r="F132" s="80">
        <v>317.61</v>
      </c>
      <c r="G132" s="80">
        <v>351.67</v>
      </c>
      <c r="H132" s="80">
        <v>340.62</v>
      </c>
      <c r="I132" s="80">
        <v>318.33999999999997</v>
      </c>
      <c r="J132" s="80">
        <v>347.35</v>
      </c>
      <c r="K132" s="80">
        <v>349.31</v>
      </c>
      <c r="L132" s="80">
        <v>339.02</v>
      </c>
      <c r="M132" s="80">
        <v>373.92</v>
      </c>
      <c r="N132" s="80">
        <v>336.78</v>
      </c>
      <c r="O132" s="80">
        <v>333.13</v>
      </c>
      <c r="P132" s="80">
        <v>347.12</v>
      </c>
      <c r="Q132" s="80">
        <v>340.9</v>
      </c>
      <c r="R132" s="83">
        <f>SUM('Cuota-Pago=Saldo'!AN135)</f>
        <v>-8.088662436875893E-4</v>
      </c>
      <c r="S132" s="72"/>
      <c r="T132" s="62"/>
      <c r="U132" s="62"/>
      <c r="V132"/>
      <c r="W132"/>
      <c r="X132"/>
      <c r="Y132"/>
      <c r="Z132"/>
      <c r="AA132"/>
      <c r="AB132"/>
      <c r="AC132"/>
      <c r="AD132"/>
    </row>
    <row r="133" spans="1:30" s="61" customFormat="1" ht="20.100000000000001" customHeight="1" x14ac:dyDescent="0.45">
      <c r="A133" s="63" t="s">
        <v>215</v>
      </c>
      <c r="B133" s="64">
        <v>11</v>
      </c>
      <c r="C133" s="112" t="s">
        <v>9</v>
      </c>
      <c r="D133" s="65">
        <v>303</v>
      </c>
      <c r="E133" s="66">
        <v>0</v>
      </c>
      <c r="F133" s="80"/>
      <c r="G133" s="80">
        <v>703.93</v>
      </c>
      <c r="H133" s="80"/>
      <c r="I133" s="80">
        <v>756.51</v>
      </c>
      <c r="J133" s="80"/>
      <c r="K133" s="80">
        <v>765.75</v>
      </c>
      <c r="L133" s="80"/>
      <c r="M133" s="80">
        <v>761.14</v>
      </c>
      <c r="N133" s="80">
        <v>381.56</v>
      </c>
      <c r="O133" s="80"/>
      <c r="P133" s="80">
        <v>744.84</v>
      </c>
      <c r="Q133" s="80"/>
      <c r="R133" s="83">
        <f>SUM('Cuota-Pago=Saldo'!AN136)</f>
        <v>-364.73297661028312</v>
      </c>
      <c r="S133" s="72"/>
      <c r="T133" s="62"/>
      <c r="U133" s="62"/>
      <c r="V133"/>
      <c r="W133"/>
      <c r="X133"/>
      <c r="Y133"/>
      <c r="Z133"/>
      <c r="AA133"/>
      <c r="AB133"/>
      <c r="AC133"/>
      <c r="AD133"/>
    </row>
    <row r="134" spans="1:30" s="61" customFormat="1" ht="20.100000000000001" customHeight="1" x14ac:dyDescent="0.45">
      <c r="A134" s="63" t="s">
        <v>216</v>
      </c>
      <c r="B134" s="64">
        <v>12</v>
      </c>
      <c r="C134" s="112" t="s">
        <v>9</v>
      </c>
      <c r="D134" s="65">
        <v>304</v>
      </c>
      <c r="E134" s="66">
        <v>0</v>
      </c>
      <c r="F134" s="80">
        <v>334.61</v>
      </c>
      <c r="G134" s="80">
        <v>378.66</v>
      </c>
      <c r="H134" s="80">
        <v>395.74</v>
      </c>
      <c r="I134" s="80">
        <v>401.49</v>
      </c>
      <c r="J134" s="80">
        <v>420.87</v>
      </c>
      <c r="K134" s="80">
        <v>404.53</v>
      </c>
      <c r="L134" s="80">
        <v>394.28</v>
      </c>
      <c r="M134" s="80">
        <v>396.48</v>
      </c>
      <c r="N134" s="80">
        <v>378.94</v>
      </c>
      <c r="O134" s="80">
        <v>375.09</v>
      </c>
      <c r="P134" s="80">
        <v>396.07</v>
      </c>
      <c r="Q134" s="80">
        <v>388.25</v>
      </c>
      <c r="R134" s="83">
        <f>SUM('Cuota-Pago=Saldo'!AN137)</f>
        <v>2.6438044656629245E-3</v>
      </c>
      <c r="S134" s="72"/>
      <c r="T134" s="62"/>
      <c r="U134" s="62"/>
      <c r="V134"/>
      <c r="W134"/>
      <c r="X134"/>
      <c r="Y134"/>
      <c r="Z134"/>
      <c r="AA134"/>
      <c r="AB134"/>
      <c r="AC134"/>
      <c r="AD134"/>
    </row>
    <row r="135" spans="1:30" s="61" customFormat="1" ht="20.100000000000001" customHeight="1" x14ac:dyDescent="0.45">
      <c r="A135" s="69" t="s">
        <v>217</v>
      </c>
      <c r="B135" s="64">
        <v>13</v>
      </c>
      <c r="C135" s="112" t="s">
        <v>9</v>
      </c>
      <c r="D135" s="65">
        <v>401</v>
      </c>
      <c r="E135" s="66">
        <v>0</v>
      </c>
      <c r="F135" s="80">
        <v>331</v>
      </c>
      <c r="G135" s="80">
        <v>314</v>
      </c>
      <c r="H135" s="80">
        <v>336</v>
      </c>
      <c r="I135" s="80">
        <v>342</v>
      </c>
      <c r="J135" s="80">
        <f>362+1.75</f>
        <v>363.75</v>
      </c>
      <c r="K135" s="80">
        <v>354</v>
      </c>
      <c r="L135" s="80">
        <v>349</v>
      </c>
      <c r="M135" s="80">
        <v>353</v>
      </c>
      <c r="N135" s="80">
        <v>353</v>
      </c>
      <c r="O135" s="80">
        <v>356</v>
      </c>
      <c r="P135" s="80">
        <v>366</v>
      </c>
      <c r="Q135" s="80">
        <v>355</v>
      </c>
      <c r="R135" s="83">
        <f>SUM('Cuota-Pago=Saldo'!AN138)</f>
        <v>0.43294254090676532</v>
      </c>
      <c r="S135" s="72"/>
      <c r="T135" s="62"/>
      <c r="U135" s="62"/>
      <c r="V135"/>
      <c r="W135"/>
      <c r="X135"/>
      <c r="Y135"/>
      <c r="Z135"/>
      <c r="AA135"/>
      <c r="AB135"/>
      <c r="AC135"/>
      <c r="AD135"/>
    </row>
    <row r="136" spans="1:30" s="61" customFormat="1" ht="20.100000000000001" customHeight="1" x14ac:dyDescent="0.45">
      <c r="A136" s="63" t="s">
        <v>218</v>
      </c>
      <c r="B136" s="64">
        <v>14</v>
      </c>
      <c r="C136" s="112" t="s">
        <v>9</v>
      </c>
      <c r="D136" s="65">
        <v>402</v>
      </c>
      <c r="E136" s="66">
        <v>0</v>
      </c>
      <c r="F136" s="80">
        <v>320.87</v>
      </c>
      <c r="G136" s="80">
        <v>318.58999999999997</v>
      </c>
      <c r="H136" s="80">
        <v>326.08999999999997</v>
      </c>
      <c r="I136" s="80">
        <v>313.23</v>
      </c>
      <c r="J136" s="80">
        <v>338.64</v>
      </c>
      <c r="K136" s="80">
        <v>340.9</v>
      </c>
      <c r="L136" s="80"/>
      <c r="M136" s="80">
        <v>657.31</v>
      </c>
      <c r="N136" s="80">
        <v>326.58</v>
      </c>
      <c r="O136" s="80">
        <v>322.95999999999998</v>
      </c>
      <c r="P136" s="80">
        <v>324.3</v>
      </c>
      <c r="Q136" s="80">
        <v>321.23</v>
      </c>
      <c r="R136" s="83">
        <f>SUM('Cuota-Pago=Saldo'!AN139)</f>
        <v>-3.1321341172088069E-3</v>
      </c>
      <c r="S136" s="72"/>
      <c r="T136" s="62"/>
      <c r="U136" s="62"/>
      <c r="V136"/>
      <c r="W136"/>
      <c r="X136"/>
      <c r="Y136"/>
      <c r="Z136"/>
      <c r="AA136"/>
      <c r="AB136"/>
      <c r="AC136"/>
      <c r="AD136"/>
    </row>
    <row r="137" spans="1:30" s="61" customFormat="1" ht="20.100000000000001" customHeight="1" x14ac:dyDescent="0.45">
      <c r="A137" s="63" t="s">
        <v>219</v>
      </c>
      <c r="B137" s="64">
        <v>15</v>
      </c>
      <c r="C137" s="112" t="s">
        <v>9</v>
      </c>
      <c r="D137" s="71">
        <v>403</v>
      </c>
      <c r="E137" s="66">
        <v>0</v>
      </c>
      <c r="F137" s="80"/>
      <c r="G137" s="80"/>
      <c r="H137" s="80">
        <v>1230</v>
      </c>
      <c r="I137" s="80"/>
      <c r="J137" s="80">
        <v>851</v>
      </c>
      <c r="K137" s="80"/>
      <c r="L137" s="80">
        <v>828</v>
      </c>
      <c r="M137" s="80"/>
      <c r="N137" s="80">
        <v>805</v>
      </c>
      <c r="O137" s="80"/>
      <c r="P137" s="80">
        <v>796.5</v>
      </c>
      <c r="Q137" s="80"/>
      <c r="R137" s="83">
        <f>SUM('Cuota-Pago=Saldo'!AN140)</f>
        <v>-405.19807947341423</v>
      </c>
      <c r="S137" s="72"/>
      <c r="T137" s="62"/>
      <c r="U137" s="62"/>
      <c r="V137"/>
      <c r="W137"/>
      <c r="X137"/>
      <c r="Y137"/>
      <c r="Z137"/>
      <c r="AA137"/>
      <c r="AB137"/>
      <c r="AC137"/>
      <c r="AD137"/>
    </row>
    <row r="138" spans="1:30" s="61" customFormat="1" ht="20.100000000000001" customHeight="1" x14ac:dyDescent="0.45">
      <c r="A138" s="63" t="s">
        <v>220</v>
      </c>
      <c r="B138" s="64">
        <v>16</v>
      </c>
      <c r="C138" s="112" t="s">
        <v>9</v>
      </c>
      <c r="D138" s="65">
        <v>404</v>
      </c>
      <c r="E138" s="66">
        <v>0</v>
      </c>
      <c r="F138" s="80">
        <v>330.45</v>
      </c>
      <c r="G138" s="80">
        <v>389.94</v>
      </c>
      <c r="H138" s="80">
        <v>387.76</v>
      </c>
      <c r="I138" s="80">
        <v>379.37</v>
      </c>
      <c r="J138" s="80">
        <v>416.42</v>
      </c>
      <c r="K138" s="80">
        <v>387.33</v>
      </c>
      <c r="L138" s="80">
        <v>384.63</v>
      </c>
      <c r="M138" s="80">
        <v>393.62</v>
      </c>
      <c r="N138" s="80">
        <v>383</v>
      </c>
      <c r="O138" s="80">
        <v>379.09</v>
      </c>
      <c r="P138" s="80">
        <v>380.87</v>
      </c>
      <c r="Q138" s="80">
        <v>381.24</v>
      </c>
      <c r="R138" s="83">
        <f>SUM('Cuota-Pago=Saldo'!AN141)</f>
        <v>-6.1138738641375312E-4</v>
      </c>
      <c r="S138" s="72"/>
      <c r="T138" s="62"/>
      <c r="U138" s="62"/>
      <c r="V138"/>
      <c r="W138"/>
      <c r="X138"/>
      <c r="Y138"/>
      <c r="Z138"/>
      <c r="AA138"/>
      <c r="AB138"/>
      <c r="AC138"/>
      <c r="AD138"/>
    </row>
    <row r="139" spans="1:30" s="61" customFormat="1" ht="20.100000000000001" customHeight="1" x14ac:dyDescent="0.45">
      <c r="A139" s="63" t="s">
        <v>221</v>
      </c>
      <c r="B139" s="64">
        <v>17</v>
      </c>
      <c r="C139" s="112" t="s">
        <v>9</v>
      </c>
      <c r="D139" s="65">
        <v>501</v>
      </c>
      <c r="E139" s="66">
        <v>0</v>
      </c>
      <c r="F139" s="80">
        <v>338.23</v>
      </c>
      <c r="G139" s="80">
        <v>405.12</v>
      </c>
      <c r="H139" s="80">
        <v>408.77</v>
      </c>
      <c r="I139" s="80">
        <v>399.6</v>
      </c>
      <c r="J139" s="80">
        <v>412.41</v>
      </c>
      <c r="K139" s="80">
        <v>406.97</v>
      </c>
      <c r="L139" s="80">
        <v>437.39</v>
      </c>
      <c r="M139" s="80">
        <v>400</v>
      </c>
      <c r="N139" s="80">
        <v>363.78</v>
      </c>
      <c r="O139" s="80">
        <v>371.6</v>
      </c>
      <c r="P139" s="80"/>
      <c r="Q139" s="80">
        <v>767.06</v>
      </c>
      <c r="R139" s="83">
        <f>SUM('Cuota-Pago=Saldo'!AN142)</f>
        <v>-7.5175339389943474E-4</v>
      </c>
      <c r="S139" s="72"/>
      <c r="T139" s="62"/>
      <c r="U139" s="62"/>
      <c r="V139"/>
      <c r="W139"/>
      <c r="X139"/>
      <c r="Y139"/>
      <c r="Z139"/>
      <c r="AA139"/>
      <c r="AB139"/>
      <c r="AC139"/>
      <c r="AD139"/>
    </row>
    <row r="140" spans="1:30" s="61" customFormat="1" ht="20.100000000000001" customHeight="1" x14ac:dyDescent="0.45">
      <c r="A140" s="69" t="s">
        <v>222</v>
      </c>
      <c r="B140" s="64">
        <v>18</v>
      </c>
      <c r="C140" s="112" t="s">
        <v>9</v>
      </c>
      <c r="D140" s="65">
        <v>502</v>
      </c>
      <c r="E140" s="66">
        <v>0</v>
      </c>
      <c r="F140" s="80">
        <v>320.36</v>
      </c>
      <c r="G140" s="80">
        <v>341.28</v>
      </c>
      <c r="H140" s="80">
        <v>352.88</v>
      </c>
      <c r="I140" s="80">
        <v>354.64</v>
      </c>
      <c r="J140" s="80">
        <v>367.63</v>
      </c>
      <c r="K140" s="80">
        <v>355.5</v>
      </c>
      <c r="L140" s="80">
        <v>353.33</v>
      </c>
      <c r="M140" s="80">
        <v>342.08</v>
      </c>
      <c r="N140" s="80">
        <v>345.08</v>
      </c>
      <c r="O140" s="80">
        <v>341.38</v>
      </c>
      <c r="P140" s="80">
        <v>358.76</v>
      </c>
      <c r="Q140" s="80"/>
      <c r="R140" s="83">
        <f>SUM('Cuota-Pago=Saldo'!AN143)</f>
        <v>-347.31457086933568</v>
      </c>
      <c r="S140" s="72"/>
      <c r="T140" s="62"/>
      <c r="U140" s="62"/>
      <c r="V140"/>
      <c r="W140"/>
      <c r="X140"/>
      <c r="Y140"/>
      <c r="Z140"/>
      <c r="AA140"/>
      <c r="AB140"/>
      <c r="AC140"/>
      <c r="AD140"/>
    </row>
    <row r="141" spans="1:30" s="61" customFormat="1" ht="20.100000000000001" customHeight="1" x14ac:dyDescent="0.45">
      <c r="A141" s="69" t="s">
        <v>223</v>
      </c>
      <c r="B141" s="64">
        <v>19</v>
      </c>
      <c r="C141" s="112" t="s">
        <v>9</v>
      </c>
      <c r="D141" s="65">
        <v>503</v>
      </c>
      <c r="E141" s="66">
        <v>0</v>
      </c>
      <c r="F141" s="80">
        <v>317.67</v>
      </c>
      <c r="G141" s="80">
        <v>336.9</v>
      </c>
      <c r="H141" s="80">
        <v>340.23</v>
      </c>
      <c r="I141" s="80">
        <v>322.22000000000003</v>
      </c>
      <c r="J141" s="80">
        <v>382.59</v>
      </c>
      <c r="K141" s="80">
        <v>362.83</v>
      </c>
      <c r="L141" s="80">
        <v>355.8</v>
      </c>
      <c r="M141" s="80">
        <v>360.67</v>
      </c>
      <c r="N141" s="80">
        <v>358.89</v>
      </c>
      <c r="O141" s="80">
        <v>354.83</v>
      </c>
      <c r="P141" s="80">
        <v>382.91</v>
      </c>
      <c r="Q141" s="80"/>
      <c r="R141" s="83">
        <f>SUM('Cuota-Pago=Saldo'!AN144)</f>
        <v>-369.32642530081944</v>
      </c>
      <c r="S141" s="72"/>
      <c r="T141" s="62"/>
      <c r="U141" s="62"/>
      <c r="V141"/>
      <c r="W141"/>
      <c r="X141"/>
      <c r="Y141"/>
      <c r="Z141"/>
      <c r="AA141"/>
      <c r="AB141"/>
      <c r="AC141"/>
      <c r="AD141"/>
    </row>
    <row r="142" spans="1:30" s="61" customFormat="1" ht="20.100000000000001" customHeight="1" x14ac:dyDescent="0.45">
      <c r="A142" s="69" t="s">
        <v>224</v>
      </c>
      <c r="B142" s="64">
        <v>20</v>
      </c>
      <c r="C142" s="112" t="s">
        <v>9</v>
      </c>
      <c r="D142" s="65">
        <v>504</v>
      </c>
      <c r="E142" s="66">
        <v>0</v>
      </c>
      <c r="F142" s="80">
        <f>318-0.3</f>
        <v>317.7</v>
      </c>
      <c r="G142" s="80">
        <v>340</v>
      </c>
      <c r="H142" s="80">
        <v>353</v>
      </c>
      <c r="I142" s="80">
        <v>345</v>
      </c>
      <c r="J142" s="80">
        <v>357</v>
      </c>
      <c r="K142" s="80">
        <v>349</v>
      </c>
      <c r="L142" s="80">
        <v>347</v>
      </c>
      <c r="M142" s="80">
        <v>340</v>
      </c>
      <c r="N142" s="80">
        <v>345</v>
      </c>
      <c r="O142" s="80">
        <v>341</v>
      </c>
      <c r="P142" s="80">
        <v>359</v>
      </c>
      <c r="Q142" s="80"/>
      <c r="R142" s="83">
        <f>SUM('Cuota-Pago=Saldo'!AN145)</f>
        <v>-350.05378506512051</v>
      </c>
      <c r="S142" s="72"/>
      <c r="T142" s="62"/>
      <c r="U142" s="62"/>
      <c r="V142"/>
      <c r="W142"/>
      <c r="X142"/>
      <c r="Y142"/>
      <c r="Z142"/>
      <c r="AA142"/>
      <c r="AB142"/>
      <c r="AC142"/>
      <c r="AD142"/>
    </row>
    <row r="143" spans="1:30" ht="20.100000000000001" customHeight="1" x14ac:dyDescent="0.45">
      <c r="A143" s="63" t="s">
        <v>225</v>
      </c>
      <c r="B143" s="84">
        <v>1</v>
      </c>
      <c r="C143" s="112" t="s">
        <v>10</v>
      </c>
      <c r="D143" s="65">
        <v>101</v>
      </c>
      <c r="E143" s="66">
        <v>0</v>
      </c>
      <c r="F143" s="80">
        <v>337.64</v>
      </c>
      <c r="G143" s="80">
        <v>388.1</v>
      </c>
      <c r="H143" s="80"/>
      <c r="I143" s="80">
        <v>786.08</v>
      </c>
      <c r="J143" s="80">
        <v>425.83</v>
      </c>
      <c r="K143" s="80">
        <v>430</v>
      </c>
      <c r="L143" s="80">
        <v>366</v>
      </c>
      <c r="M143" s="80">
        <v>388</v>
      </c>
      <c r="N143" s="80">
        <v>410.66</v>
      </c>
      <c r="O143" s="80">
        <v>407.13</v>
      </c>
      <c r="P143" s="80">
        <v>398.5</v>
      </c>
      <c r="Q143" s="80"/>
      <c r="R143" s="83">
        <f>SUM('Cuota-Pago=Saldo'!AN146)</f>
        <v>-411.12482264827702</v>
      </c>
      <c r="T143" s="62">
        <f>COUNTIF(R143:R162,"&gt;0")</f>
        <v>6</v>
      </c>
      <c r="U143" s="67"/>
    </row>
    <row r="144" spans="1:30" ht="20.100000000000001" customHeight="1" x14ac:dyDescent="0.45">
      <c r="A144" s="63" t="s">
        <v>226</v>
      </c>
      <c r="B144" s="84">
        <v>2</v>
      </c>
      <c r="C144" s="112" t="s">
        <v>10</v>
      </c>
      <c r="D144" s="65">
        <v>102</v>
      </c>
      <c r="E144" s="66">
        <v>0</v>
      </c>
      <c r="F144" s="80">
        <v>321</v>
      </c>
      <c r="G144" s="80">
        <v>362</v>
      </c>
      <c r="H144" s="80">
        <v>359.6</v>
      </c>
      <c r="I144" s="80">
        <v>358</v>
      </c>
      <c r="J144" s="80">
        <v>365</v>
      </c>
      <c r="K144" s="80">
        <v>341.03</v>
      </c>
      <c r="L144" s="80">
        <v>339</v>
      </c>
      <c r="M144" s="80">
        <v>340</v>
      </c>
      <c r="N144" s="80">
        <v>329.9</v>
      </c>
      <c r="O144" s="80">
        <v>326.63</v>
      </c>
      <c r="P144" s="80">
        <v>342</v>
      </c>
      <c r="Q144" s="80">
        <v>339.07</v>
      </c>
      <c r="R144" s="83">
        <f>SUM('Cuota-Pago=Saldo'!AN147)</f>
        <v>-1.7466860862214162E-3</v>
      </c>
      <c r="T144" s="62">
        <f>COUNTIF(R143:R162,"&lt;0")</f>
        <v>14</v>
      </c>
      <c r="U144" s="68"/>
    </row>
    <row r="145" spans="1:21" ht="20.100000000000001" customHeight="1" x14ac:dyDescent="0.45">
      <c r="A145" s="69" t="s">
        <v>227</v>
      </c>
      <c r="B145" s="84">
        <v>3</v>
      </c>
      <c r="C145" s="112" t="s">
        <v>10</v>
      </c>
      <c r="D145" s="65">
        <v>103</v>
      </c>
      <c r="E145" s="66">
        <v>0</v>
      </c>
      <c r="F145" s="80">
        <v>320.8</v>
      </c>
      <c r="G145" s="80">
        <v>370.85</v>
      </c>
      <c r="H145" s="80">
        <v>365.55</v>
      </c>
      <c r="I145" s="80">
        <v>363.1</v>
      </c>
      <c r="J145" s="80">
        <v>379.7</v>
      </c>
      <c r="K145" s="80">
        <v>349.16</v>
      </c>
      <c r="L145" s="80">
        <v>359.27</v>
      </c>
      <c r="M145" s="80">
        <v>349.67</v>
      </c>
      <c r="N145" s="80">
        <v>345.02</v>
      </c>
      <c r="O145" s="80">
        <v>341.32</v>
      </c>
      <c r="P145" s="80">
        <v>339.43</v>
      </c>
      <c r="Q145" s="80">
        <v>320.76</v>
      </c>
      <c r="R145" s="83">
        <f>SUM('Cuota-Pago=Saldo'!AN148)</f>
        <v>2.0862402555508197E-3</v>
      </c>
      <c r="T145" s="62">
        <f>SUM(T143)-20</f>
        <v>-14</v>
      </c>
      <c r="U145" s="67"/>
    </row>
    <row r="146" spans="1:21" ht="20.100000000000001" customHeight="1" x14ac:dyDescent="0.45">
      <c r="A146" s="69" t="s">
        <v>324</v>
      </c>
      <c r="B146" s="84">
        <v>4</v>
      </c>
      <c r="C146" s="112" t="s">
        <v>10</v>
      </c>
      <c r="D146" s="65">
        <v>104</v>
      </c>
      <c r="E146" s="66">
        <v>0</v>
      </c>
      <c r="F146" s="80">
        <v>330.79</v>
      </c>
      <c r="G146" s="80">
        <v>362.1</v>
      </c>
      <c r="H146" s="80">
        <v>382.13</v>
      </c>
      <c r="I146" s="80">
        <v>372.31</v>
      </c>
      <c r="J146" s="80">
        <v>399.07</v>
      </c>
      <c r="K146" s="80">
        <v>416.14</v>
      </c>
      <c r="L146" s="80">
        <v>377.7</v>
      </c>
      <c r="M146" s="80"/>
      <c r="N146" s="80">
        <v>803.49</v>
      </c>
      <c r="O146" s="80"/>
      <c r="P146" s="80">
        <v>800</v>
      </c>
      <c r="Q146" s="80"/>
      <c r="R146" s="83">
        <f>SUM('Cuota-Pago=Saldo'!AN149)</f>
        <v>-401.36425650250442</v>
      </c>
    </row>
    <row r="147" spans="1:21" ht="20.100000000000001" customHeight="1" x14ac:dyDescent="0.45">
      <c r="A147" s="69" t="s">
        <v>229</v>
      </c>
      <c r="B147" s="194">
        <v>5</v>
      </c>
      <c r="C147" s="112" t="s">
        <v>10</v>
      </c>
      <c r="D147" s="65">
        <v>201</v>
      </c>
      <c r="E147" s="66">
        <v>0</v>
      </c>
      <c r="F147" s="80">
        <v>376.25</v>
      </c>
      <c r="G147" s="80">
        <v>512.24</v>
      </c>
      <c r="H147" s="80">
        <v>504.32</v>
      </c>
      <c r="I147" s="80">
        <v>523.59</v>
      </c>
      <c r="J147" s="80">
        <v>496.13</v>
      </c>
      <c r="K147" s="80">
        <v>499.77</v>
      </c>
      <c r="L147" s="80">
        <v>473.69</v>
      </c>
      <c r="M147" s="80">
        <v>470.44</v>
      </c>
      <c r="N147" s="80">
        <v>480.31</v>
      </c>
      <c r="O147" s="80">
        <v>476</v>
      </c>
      <c r="P147" s="80">
        <v>500.5</v>
      </c>
      <c r="Q147" s="80">
        <v>514.42999999999995</v>
      </c>
      <c r="R147" s="83">
        <f>SUM('Cuota-Pago=Saldo'!AN150)</f>
        <v>1.1357987981455153E-3</v>
      </c>
    </row>
    <row r="148" spans="1:21" ht="20.100000000000001" customHeight="1" x14ac:dyDescent="0.45">
      <c r="A148" s="69" t="s">
        <v>230</v>
      </c>
      <c r="B148" s="84">
        <v>6</v>
      </c>
      <c r="C148" s="112" t="s">
        <v>10</v>
      </c>
      <c r="D148" s="65">
        <v>202</v>
      </c>
      <c r="E148" s="66">
        <v>0</v>
      </c>
      <c r="F148" s="80"/>
      <c r="G148" s="80">
        <v>396.47</v>
      </c>
      <c r="H148" s="80"/>
      <c r="I148" s="80">
        <v>752.79</v>
      </c>
      <c r="J148" s="80"/>
      <c r="K148" s="80">
        <v>732.14</v>
      </c>
      <c r="L148" s="80"/>
      <c r="M148" s="80"/>
      <c r="N148" s="80"/>
      <c r="O148" s="80"/>
      <c r="P148" s="80"/>
      <c r="Q148" s="80"/>
      <c r="R148" s="83">
        <f>SUM('Cuota-Pago=Saldo'!AN151)</f>
        <v>-2287.1286503815813</v>
      </c>
    </row>
    <row r="149" spans="1:21" ht="20.100000000000001" customHeight="1" x14ac:dyDescent="0.45">
      <c r="A149" s="69" t="s">
        <v>281</v>
      </c>
      <c r="B149" s="84">
        <v>7</v>
      </c>
      <c r="C149" s="112" t="s">
        <v>10</v>
      </c>
      <c r="D149" s="65">
        <v>203</v>
      </c>
      <c r="E149" s="66">
        <v>0</v>
      </c>
      <c r="F149" s="80"/>
      <c r="G149" s="80"/>
      <c r="H149" s="80">
        <v>777.1</v>
      </c>
      <c r="I149" s="80"/>
      <c r="J149" s="80">
        <v>771.5</v>
      </c>
      <c r="K149" s="80"/>
      <c r="L149" s="80">
        <v>750</v>
      </c>
      <c r="M149" s="80"/>
      <c r="N149" s="80">
        <v>755</v>
      </c>
      <c r="O149" s="80"/>
      <c r="P149" s="80"/>
      <c r="Q149" s="80">
        <v>1203.79</v>
      </c>
      <c r="R149" s="83">
        <f>SUM('Cuota-Pago=Saldo'!AN152)</f>
        <v>-3.7506736804289176E-3</v>
      </c>
    </row>
    <row r="150" spans="1:21" ht="20.100000000000001" customHeight="1" x14ac:dyDescent="0.45">
      <c r="A150" s="69" t="s">
        <v>232</v>
      </c>
      <c r="B150" s="84">
        <v>8</v>
      </c>
      <c r="C150" s="112" t="s">
        <v>10</v>
      </c>
      <c r="D150" s="65">
        <v>204</v>
      </c>
      <c r="E150" s="66">
        <v>0</v>
      </c>
      <c r="F150" s="80">
        <v>320.97000000000003</v>
      </c>
      <c r="G150" s="80">
        <v>347.1</v>
      </c>
      <c r="H150" s="80">
        <v>388.94</v>
      </c>
      <c r="I150" s="80">
        <v>344.46</v>
      </c>
      <c r="J150" s="80">
        <v>360.05</v>
      </c>
      <c r="K150" s="80">
        <v>368.21</v>
      </c>
      <c r="L150" s="80">
        <v>324.61</v>
      </c>
      <c r="M150" s="80">
        <v>342.21</v>
      </c>
      <c r="N150" s="80">
        <v>321.39</v>
      </c>
      <c r="O150" s="80">
        <v>317.79000000000002</v>
      </c>
      <c r="P150" s="80">
        <v>332.93</v>
      </c>
      <c r="Q150" s="80">
        <v>321.61</v>
      </c>
      <c r="R150" s="83">
        <f>SUM('Cuota-Pago=Saldo'!AN153)</f>
        <v>-8.3002162057255191E-4</v>
      </c>
    </row>
    <row r="151" spans="1:21" ht="20.100000000000001" customHeight="1" x14ac:dyDescent="0.45">
      <c r="A151" s="69" t="s">
        <v>233</v>
      </c>
      <c r="B151" s="84">
        <v>9</v>
      </c>
      <c r="C151" s="112" t="s">
        <v>10</v>
      </c>
      <c r="D151" s="65">
        <v>301</v>
      </c>
      <c r="E151" s="66">
        <v>0</v>
      </c>
      <c r="F151" s="80">
        <v>330.55</v>
      </c>
      <c r="G151" s="80">
        <v>380.33</v>
      </c>
      <c r="H151" s="80">
        <v>370.96</v>
      </c>
      <c r="I151" s="80">
        <v>374</v>
      </c>
      <c r="J151" s="80">
        <v>391.71</v>
      </c>
      <c r="K151" s="80">
        <v>390</v>
      </c>
      <c r="L151" s="80">
        <v>371.2</v>
      </c>
      <c r="M151" s="80">
        <v>378</v>
      </c>
      <c r="N151" s="80">
        <v>363.8</v>
      </c>
      <c r="O151" s="80"/>
      <c r="P151" s="80">
        <v>718</v>
      </c>
      <c r="Q151" s="80">
        <v>376.7</v>
      </c>
      <c r="R151" s="83">
        <f>SUM('Cuota-Pago=Saldo'!AN154)</f>
        <v>-7.1988059465866172E-4</v>
      </c>
    </row>
    <row r="152" spans="1:21" ht="20.100000000000001" customHeight="1" x14ac:dyDescent="0.45">
      <c r="A152" s="69" t="s">
        <v>234</v>
      </c>
      <c r="B152" s="84">
        <v>10</v>
      </c>
      <c r="C152" s="112" t="s">
        <v>10</v>
      </c>
      <c r="D152" s="65">
        <v>302</v>
      </c>
      <c r="E152" s="66">
        <v>0</v>
      </c>
      <c r="F152" s="80"/>
      <c r="G152" s="80"/>
      <c r="H152" s="80"/>
      <c r="I152" s="80">
        <v>1218.96</v>
      </c>
      <c r="J152" s="80"/>
      <c r="K152" s="80"/>
      <c r="L152" s="80">
        <v>1203.6300000000001</v>
      </c>
      <c r="M152" s="80"/>
      <c r="N152" s="80">
        <v>785.33</v>
      </c>
      <c r="O152" s="80"/>
      <c r="P152" s="80">
        <v>677.41</v>
      </c>
      <c r="Q152" s="80"/>
      <c r="R152" s="83">
        <f>SUM('Cuota-Pago=Saldo'!AN155)</f>
        <v>-490.20830304104004</v>
      </c>
    </row>
    <row r="153" spans="1:21" ht="20.100000000000001" customHeight="1" x14ac:dyDescent="0.45">
      <c r="A153" s="63" t="s">
        <v>235</v>
      </c>
      <c r="B153" s="84">
        <v>11</v>
      </c>
      <c r="C153" s="112" t="s">
        <v>10</v>
      </c>
      <c r="D153" s="65">
        <v>303</v>
      </c>
      <c r="E153" s="66">
        <v>0</v>
      </c>
      <c r="F153" s="80">
        <v>500</v>
      </c>
      <c r="G153" s="80">
        <v>253</v>
      </c>
      <c r="H153" s="80">
        <v>345.65</v>
      </c>
      <c r="I153" s="80">
        <v>334.5</v>
      </c>
      <c r="J153" s="80">
        <v>373</v>
      </c>
      <c r="K153" s="80">
        <v>352.4</v>
      </c>
      <c r="L153" s="80">
        <v>349.1</v>
      </c>
      <c r="M153" s="80">
        <v>344.3</v>
      </c>
      <c r="N153" s="80"/>
      <c r="O153" s="80">
        <v>727</v>
      </c>
      <c r="P153" s="80">
        <v>363.1</v>
      </c>
      <c r="Q153" s="80"/>
      <c r="R153" s="83">
        <f>SUM('Cuota-Pago=Saldo'!AN156)</f>
        <v>-362.47446212718359</v>
      </c>
    </row>
    <row r="154" spans="1:21" ht="20.100000000000001" customHeight="1" x14ac:dyDescent="0.45">
      <c r="A154" s="69" t="s">
        <v>236</v>
      </c>
      <c r="B154" s="84">
        <v>12</v>
      </c>
      <c r="C154" s="112" t="s">
        <v>10</v>
      </c>
      <c r="D154" s="65">
        <v>304</v>
      </c>
      <c r="E154" s="66">
        <v>0</v>
      </c>
      <c r="F154" s="80">
        <f>300+351.46</f>
        <v>651.46</v>
      </c>
      <c r="G154" s="80">
        <f>300+414.62</f>
        <v>714.62</v>
      </c>
      <c r="H154" s="80">
        <f>300+401.95</f>
        <v>701.95</v>
      </c>
      <c r="I154" s="80">
        <f>300+402</f>
        <v>702</v>
      </c>
      <c r="J154" s="80">
        <f>300+402.94</f>
        <v>702.94</v>
      </c>
      <c r="K154" s="80">
        <f>300+416.11</f>
        <v>716.11</v>
      </c>
      <c r="L154" s="80">
        <f>300+397.36</f>
        <v>697.36</v>
      </c>
      <c r="M154" s="80">
        <f>300+382.23</f>
        <v>682.23</v>
      </c>
      <c r="N154" s="80">
        <f>300+398.06</f>
        <v>698.06</v>
      </c>
      <c r="O154" s="80">
        <f>300+394.12</f>
        <v>694.12</v>
      </c>
      <c r="P154" s="80">
        <f>300+407.74</f>
        <v>707.74</v>
      </c>
      <c r="Q154" s="80">
        <v>374.63</v>
      </c>
      <c r="R154" s="83">
        <f>SUM('Cuota-Pago=Saldo'!AN157)</f>
        <v>1.5259444454045479E-3</v>
      </c>
    </row>
    <row r="155" spans="1:21" ht="20.100000000000001" customHeight="1" x14ac:dyDescent="0.45">
      <c r="A155" s="69" t="s">
        <v>237</v>
      </c>
      <c r="B155" s="84">
        <v>13</v>
      </c>
      <c r="C155" s="112" t="s">
        <v>10</v>
      </c>
      <c r="D155" s="65">
        <v>401</v>
      </c>
      <c r="E155" s="66">
        <v>0</v>
      </c>
      <c r="F155" s="80">
        <v>600</v>
      </c>
      <c r="G155" s="80"/>
      <c r="H155" s="80">
        <v>900</v>
      </c>
      <c r="I155" s="80"/>
      <c r="J155" s="80"/>
      <c r="K155" s="80">
        <v>1100</v>
      </c>
      <c r="L155" s="80">
        <v>600</v>
      </c>
      <c r="M155" s="80"/>
      <c r="N155" s="80"/>
      <c r="O155" s="80">
        <v>1274.95</v>
      </c>
      <c r="P155" s="80">
        <v>410.04</v>
      </c>
      <c r="Q155" s="80">
        <v>328.36</v>
      </c>
      <c r="R155" s="83">
        <f>SUM('Cuota-Pago=Saldo'!AN158)</f>
        <v>1.3853341120011464E-3</v>
      </c>
    </row>
    <row r="156" spans="1:21" ht="20.100000000000001" customHeight="1" x14ac:dyDescent="0.45">
      <c r="A156" s="63" t="s">
        <v>238</v>
      </c>
      <c r="B156" s="84">
        <v>14</v>
      </c>
      <c r="C156" s="112" t="s">
        <v>10</v>
      </c>
      <c r="D156" s="65">
        <v>402</v>
      </c>
      <c r="E156" s="66">
        <v>0</v>
      </c>
      <c r="F156" s="80">
        <v>333</v>
      </c>
      <c r="G156" s="80">
        <v>377</v>
      </c>
      <c r="H156" s="80">
        <v>378</v>
      </c>
      <c r="I156" s="80">
        <v>377.5</v>
      </c>
      <c r="J156" s="80">
        <v>393</v>
      </c>
      <c r="K156" s="80">
        <v>393.1</v>
      </c>
      <c r="L156" s="80">
        <v>393</v>
      </c>
      <c r="M156" s="80">
        <v>395</v>
      </c>
      <c r="N156" s="80">
        <v>387.32</v>
      </c>
      <c r="O156" s="80">
        <v>384</v>
      </c>
      <c r="P156" s="80">
        <v>358</v>
      </c>
      <c r="Q156" s="80">
        <v>377.04</v>
      </c>
      <c r="R156" s="83">
        <f>SUM('Cuota-Pago=Saldo'!AN159)</f>
        <v>8.0587449303948233E-4</v>
      </c>
    </row>
    <row r="157" spans="1:21" ht="20.100000000000001" customHeight="1" x14ac:dyDescent="0.45">
      <c r="A157" s="69" t="s">
        <v>239</v>
      </c>
      <c r="B157" s="84">
        <v>15</v>
      </c>
      <c r="C157" s="112" t="s">
        <v>10</v>
      </c>
      <c r="D157" s="71">
        <v>403</v>
      </c>
      <c r="E157" s="66">
        <v>0</v>
      </c>
      <c r="F157" s="80">
        <v>311.08999999999997</v>
      </c>
      <c r="G157" s="80">
        <v>322.37</v>
      </c>
      <c r="H157" s="80">
        <v>350.14</v>
      </c>
      <c r="I157" s="80">
        <v>347.44</v>
      </c>
      <c r="J157" s="80">
        <v>469</v>
      </c>
      <c r="K157" s="80">
        <v>330.01</v>
      </c>
      <c r="L157" s="80">
        <v>446.48</v>
      </c>
      <c r="M157" s="80">
        <v>419.71</v>
      </c>
      <c r="N157" s="80">
        <v>406.42</v>
      </c>
      <c r="O157" s="80">
        <v>402.45</v>
      </c>
      <c r="P157" s="80">
        <v>396.79</v>
      </c>
      <c r="Q157" s="80"/>
      <c r="R157" s="83">
        <f>SUM('Cuota-Pago=Saldo'!AN160)</f>
        <v>-410.66940114814702</v>
      </c>
    </row>
    <row r="158" spans="1:21" ht="20.100000000000001" customHeight="1" x14ac:dyDescent="0.45">
      <c r="A158" s="69" t="s">
        <v>240</v>
      </c>
      <c r="B158" s="84">
        <v>16</v>
      </c>
      <c r="C158" s="112" t="s">
        <v>10</v>
      </c>
      <c r="D158" s="65">
        <v>404</v>
      </c>
      <c r="E158" s="66">
        <v>0</v>
      </c>
      <c r="F158" s="80">
        <v>350</v>
      </c>
      <c r="G158" s="80">
        <v>400</v>
      </c>
      <c r="H158" s="80">
        <v>350</v>
      </c>
      <c r="I158" s="80">
        <v>350</v>
      </c>
      <c r="J158" s="80">
        <v>350</v>
      </c>
      <c r="K158" s="80">
        <v>350</v>
      </c>
      <c r="L158" s="80">
        <v>350</v>
      </c>
      <c r="M158" s="80">
        <v>350</v>
      </c>
      <c r="N158" s="80">
        <v>500</v>
      </c>
      <c r="O158" s="80">
        <v>500</v>
      </c>
      <c r="P158" s="80">
        <v>328</v>
      </c>
      <c r="Q158" s="80"/>
      <c r="R158" s="83">
        <f>SUM('Cuota-Pago=Saldo'!AN161)</f>
        <v>-492.08944657813606</v>
      </c>
    </row>
    <row r="159" spans="1:21" ht="20.100000000000001" customHeight="1" x14ac:dyDescent="0.45">
      <c r="A159" s="69" t="s">
        <v>241</v>
      </c>
      <c r="B159" s="84">
        <v>17</v>
      </c>
      <c r="C159" s="112" t="s">
        <v>10</v>
      </c>
      <c r="D159" s="65">
        <v>501</v>
      </c>
      <c r="E159" s="66">
        <v>0</v>
      </c>
      <c r="F159" s="80">
        <v>328.12</v>
      </c>
      <c r="G159" s="80">
        <v>393.73</v>
      </c>
      <c r="H159" s="80">
        <v>418.28</v>
      </c>
      <c r="I159" s="80">
        <v>386.41</v>
      </c>
      <c r="J159" s="80">
        <v>465.5</v>
      </c>
      <c r="K159" s="80">
        <v>450.29</v>
      </c>
      <c r="L159" s="80">
        <v>446.14</v>
      </c>
      <c r="M159" s="80">
        <v>446.3</v>
      </c>
      <c r="N159" s="80">
        <v>367.61</v>
      </c>
      <c r="O159" s="80">
        <v>329.32</v>
      </c>
      <c r="P159" s="80"/>
      <c r="Q159" s="80"/>
      <c r="R159" s="83">
        <f>SUM('Cuota-Pago=Saldo'!AN162)</f>
        <v>-765.12769338565352</v>
      </c>
    </row>
    <row r="160" spans="1:21" ht="20.100000000000001" customHeight="1" x14ac:dyDescent="0.45">
      <c r="A160" s="63" t="s">
        <v>242</v>
      </c>
      <c r="B160" s="84">
        <v>18</v>
      </c>
      <c r="C160" s="112" t="s">
        <v>10</v>
      </c>
      <c r="D160" s="65">
        <v>502</v>
      </c>
      <c r="E160" s="66">
        <v>0</v>
      </c>
      <c r="F160" s="80">
        <v>336</v>
      </c>
      <c r="G160" s="80">
        <v>410</v>
      </c>
      <c r="H160" s="80">
        <v>420</v>
      </c>
      <c r="I160" s="80">
        <v>403</v>
      </c>
      <c r="J160" s="80">
        <v>406</v>
      </c>
      <c r="K160" s="80">
        <v>401</v>
      </c>
      <c r="L160" s="80">
        <v>391</v>
      </c>
      <c r="M160" s="80">
        <v>385</v>
      </c>
      <c r="N160" s="80">
        <v>390</v>
      </c>
      <c r="O160" s="80">
        <v>386</v>
      </c>
      <c r="P160" s="80">
        <v>387</v>
      </c>
      <c r="Q160" s="80">
        <f>300+382+300</f>
        <v>982</v>
      </c>
      <c r="R160" s="83">
        <f>SUM('Cuota-Pago=Saldo'!AN163)</f>
        <v>301.68309513653139</v>
      </c>
    </row>
    <row r="161" spans="1:25" ht="20.100000000000001" customHeight="1" x14ac:dyDescent="0.45">
      <c r="A161" s="69" t="s">
        <v>305</v>
      </c>
      <c r="B161" s="84">
        <v>19</v>
      </c>
      <c r="C161" s="112" t="s">
        <v>10</v>
      </c>
      <c r="D161" s="65">
        <v>503</v>
      </c>
      <c r="E161" s="66">
        <v>0</v>
      </c>
      <c r="F161" s="80" t="s">
        <v>12</v>
      </c>
      <c r="G161" s="80">
        <v>461.93</v>
      </c>
      <c r="H161" s="80">
        <v>376.29</v>
      </c>
      <c r="I161" s="80">
        <v>371.55</v>
      </c>
      <c r="J161" s="80">
        <v>398.41</v>
      </c>
      <c r="K161" s="80">
        <v>372.74</v>
      </c>
      <c r="L161" s="80"/>
      <c r="M161" s="80">
        <v>775.76</v>
      </c>
      <c r="N161" s="80">
        <v>374.24</v>
      </c>
      <c r="O161" s="80"/>
      <c r="P161" s="80">
        <v>748.12</v>
      </c>
      <c r="Q161" s="80"/>
      <c r="R161" s="83">
        <f>SUM('Cuota-Pago=Saldo'!AN164)</f>
        <v>-390.8321196095402</v>
      </c>
    </row>
    <row r="162" spans="1:25" ht="20.100000000000001" customHeight="1" x14ac:dyDescent="0.45">
      <c r="A162" s="69" t="s">
        <v>244</v>
      </c>
      <c r="B162" s="84">
        <v>20</v>
      </c>
      <c r="C162" s="112" t="s">
        <v>10</v>
      </c>
      <c r="D162" s="65">
        <v>504</v>
      </c>
      <c r="E162" s="66">
        <v>0</v>
      </c>
      <c r="F162" s="80">
        <v>358.09</v>
      </c>
      <c r="G162" s="80"/>
      <c r="H162" s="80">
        <v>887.8</v>
      </c>
      <c r="I162" s="80">
        <v>463.11</v>
      </c>
      <c r="J162" s="80">
        <v>464.11</v>
      </c>
      <c r="K162" s="80">
        <v>427.17</v>
      </c>
      <c r="L162" s="80"/>
      <c r="M162" s="80"/>
      <c r="N162" s="80"/>
      <c r="O162" s="80"/>
      <c r="P162" s="80">
        <v>1800</v>
      </c>
      <c r="Q162" s="80"/>
      <c r="R162" s="83">
        <f>SUM('Cuota-Pago=Saldo'!AN165)</f>
        <v>-261.23595641856463</v>
      </c>
      <c r="S162" s="72" t="s">
        <v>12</v>
      </c>
    </row>
    <row r="163" spans="1:25" ht="20.100000000000001" customHeight="1" x14ac:dyDescent="0.45">
      <c r="A163" s="69" t="s">
        <v>245</v>
      </c>
      <c r="B163" s="64">
        <v>1</v>
      </c>
      <c r="C163" s="112" t="s">
        <v>11</v>
      </c>
      <c r="D163" s="65">
        <v>101</v>
      </c>
      <c r="E163" s="66">
        <v>0</v>
      </c>
      <c r="F163" s="80"/>
      <c r="G163" s="80">
        <v>350</v>
      </c>
      <c r="H163" s="80">
        <v>432</v>
      </c>
      <c r="I163" s="80">
        <v>400</v>
      </c>
      <c r="J163" s="80">
        <v>380</v>
      </c>
      <c r="K163" s="80"/>
      <c r="L163" s="80">
        <v>800</v>
      </c>
      <c r="M163" s="80">
        <v>387.49</v>
      </c>
      <c r="N163" s="80">
        <v>379.45</v>
      </c>
      <c r="O163" s="80">
        <v>375.6</v>
      </c>
      <c r="P163" s="80">
        <v>423.97</v>
      </c>
      <c r="Q163" s="80"/>
      <c r="R163" s="83">
        <f>SUM('Cuota-Pago=Saldo'!AN166)</f>
        <v>-415.27039734197257</v>
      </c>
      <c r="T163" s="62">
        <f>COUNTIF(R163:R182,"&gt;0")</f>
        <v>3</v>
      </c>
      <c r="U163" s="67"/>
    </row>
    <row r="164" spans="1:25" ht="20.100000000000001" customHeight="1" x14ac:dyDescent="0.45">
      <c r="A164" s="69" t="s">
        <v>246</v>
      </c>
      <c r="B164" s="64">
        <v>2</v>
      </c>
      <c r="C164" s="112" t="s">
        <v>11</v>
      </c>
      <c r="D164" s="65">
        <v>102</v>
      </c>
      <c r="E164" s="66">
        <v>0</v>
      </c>
      <c r="F164" s="80"/>
      <c r="G164" s="80">
        <v>600</v>
      </c>
      <c r="H164" s="80">
        <v>400</v>
      </c>
      <c r="I164" s="80">
        <v>400</v>
      </c>
      <c r="J164" s="80">
        <v>390</v>
      </c>
      <c r="K164" s="80">
        <v>400</v>
      </c>
      <c r="L164" s="80">
        <v>500</v>
      </c>
      <c r="M164" s="80">
        <v>500</v>
      </c>
      <c r="N164" s="80">
        <v>500</v>
      </c>
      <c r="O164" s="80">
        <v>500</v>
      </c>
      <c r="P164" s="80"/>
      <c r="Q164" s="80"/>
      <c r="R164" s="83">
        <f>SUM('Cuota-Pago=Saldo'!AN167)</f>
        <v>-805.26718760474739</v>
      </c>
      <c r="S164" s="72" t="s">
        <v>12</v>
      </c>
      <c r="T164" s="62">
        <f>COUNTIF(R163:R182,"&lt;0")</f>
        <v>17</v>
      </c>
      <c r="U164" s="68"/>
    </row>
    <row r="165" spans="1:25" ht="20.100000000000001" customHeight="1" x14ac:dyDescent="0.45">
      <c r="A165" s="69" t="s">
        <v>247</v>
      </c>
      <c r="B165" s="64">
        <v>3</v>
      </c>
      <c r="C165" s="112" t="s">
        <v>11</v>
      </c>
      <c r="D165" s="65">
        <v>103</v>
      </c>
      <c r="E165" s="66">
        <v>0</v>
      </c>
      <c r="F165" s="80"/>
      <c r="G165" s="80">
        <v>669.32</v>
      </c>
      <c r="H165" s="80">
        <v>348.61</v>
      </c>
      <c r="I165" s="80">
        <v>336.6</v>
      </c>
      <c r="J165" s="80"/>
      <c r="K165" s="80"/>
      <c r="L165" s="80">
        <v>1089.79</v>
      </c>
      <c r="M165" s="80"/>
      <c r="N165" s="80">
        <v>715.81</v>
      </c>
      <c r="O165" s="80">
        <v>357.8</v>
      </c>
      <c r="P165" s="80"/>
      <c r="Q165" s="80">
        <v>722.23</v>
      </c>
      <c r="R165" s="83">
        <f>SUM('Cuota-Pago=Saldo'!AN168)</f>
        <v>4.7697959677179824E-3</v>
      </c>
      <c r="T165" s="62">
        <f>SUM(T163)-20</f>
        <v>-17</v>
      </c>
      <c r="U165" s="67"/>
    </row>
    <row r="166" spans="1:25" ht="20.100000000000001" customHeight="1" x14ac:dyDescent="0.45">
      <c r="A166" s="69" t="s">
        <v>248</v>
      </c>
      <c r="B166" s="64">
        <v>4</v>
      </c>
      <c r="C166" s="112" t="s">
        <v>11</v>
      </c>
      <c r="D166" s="65">
        <v>104</v>
      </c>
      <c r="E166" s="66">
        <v>0</v>
      </c>
      <c r="F166" s="80">
        <v>550</v>
      </c>
      <c r="G166" s="80"/>
      <c r="H166" s="80">
        <v>500</v>
      </c>
      <c r="I166" s="80"/>
      <c r="J166" s="80">
        <v>1000</v>
      </c>
      <c r="K166" s="80">
        <v>500</v>
      </c>
      <c r="L166" s="80">
        <v>500</v>
      </c>
      <c r="M166" s="80">
        <v>500</v>
      </c>
      <c r="N166" s="80">
        <v>500</v>
      </c>
      <c r="O166" s="80"/>
      <c r="P166" s="80"/>
      <c r="Q166" s="80"/>
      <c r="R166" s="83">
        <f>SUM('Cuota-Pago=Saldo'!AN169)</f>
        <v>-1143.3487843726593</v>
      </c>
      <c r="S166" s="72" t="s">
        <v>12</v>
      </c>
      <c r="T166" s="303" t="s">
        <v>357</v>
      </c>
      <c r="U166" s="303"/>
      <c r="V166" s="303"/>
      <c r="W166" s="303"/>
      <c r="X166" s="303"/>
      <c r="Y166" s="303"/>
    </row>
    <row r="167" spans="1:25" ht="20.100000000000001" customHeight="1" x14ac:dyDescent="0.45">
      <c r="A167" s="69" t="s">
        <v>249</v>
      </c>
      <c r="B167" s="64">
        <v>5</v>
      </c>
      <c r="C167" s="112" t="s">
        <v>11</v>
      </c>
      <c r="D167" s="65">
        <v>201</v>
      </c>
      <c r="E167" s="66">
        <v>0</v>
      </c>
      <c r="F167" s="80">
        <v>330.56</v>
      </c>
      <c r="G167" s="80">
        <v>364.36</v>
      </c>
      <c r="H167" s="80">
        <v>369.57</v>
      </c>
      <c r="I167" s="80">
        <v>391.64</v>
      </c>
      <c r="J167" s="80">
        <v>405.22</v>
      </c>
      <c r="K167" s="80">
        <v>406.01</v>
      </c>
      <c r="L167" s="80">
        <v>392.26</v>
      </c>
      <c r="M167" s="80">
        <v>387.46</v>
      </c>
      <c r="N167" s="80">
        <v>399.36</v>
      </c>
      <c r="O167" s="80">
        <v>395.41</v>
      </c>
      <c r="P167" s="80">
        <v>402.55</v>
      </c>
      <c r="Q167" s="80"/>
      <c r="R167" s="83">
        <f>SUM('Cuota-Pago=Saldo'!AN170)</f>
        <v>-389.62537317609923</v>
      </c>
    </row>
    <row r="168" spans="1:25" ht="20.100000000000001" customHeight="1" x14ac:dyDescent="0.45">
      <c r="A168" s="69" t="s">
        <v>250</v>
      </c>
      <c r="B168" s="64">
        <v>6</v>
      </c>
      <c r="C168" s="112" t="s">
        <v>11</v>
      </c>
      <c r="D168" s="65">
        <v>202</v>
      </c>
      <c r="E168" s="66">
        <v>0</v>
      </c>
      <c r="F168" s="80">
        <v>100</v>
      </c>
      <c r="G168" s="80">
        <f>100+500</f>
        <v>600</v>
      </c>
      <c r="H168" s="80">
        <f>300+300</f>
        <v>600</v>
      </c>
      <c r="I168" s="80">
        <f>300+300</f>
        <v>600</v>
      </c>
      <c r="J168" s="80">
        <f>300+300</f>
        <v>600</v>
      </c>
      <c r="K168" s="80"/>
      <c r="L168" s="80"/>
      <c r="M168" s="80"/>
      <c r="N168" s="80"/>
      <c r="O168" s="80"/>
      <c r="P168" s="80"/>
      <c r="Q168" s="80"/>
      <c r="R168" s="83">
        <f>SUM('Cuota-Pago=Saldo'!AN171)</f>
        <v>-2349.3594420127056</v>
      </c>
      <c r="S168" s="72" t="s">
        <v>12</v>
      </c>
      <c r="T168" s="303" t="s">
        <v>333</v>
      </c>
      <c r="U168" s="303"/>
      <c r="V168" s="303"/>
      <c r="W168" s="303"/>
      <c r="X168" s="303"/>
      <c r="Y168" s="303"/>
    </row>
    <row r="169" spans="1:25" ht="20.100000000000001" customHeight="1" x14ac:dyDescent="0.45">
      <c r="A169" s="69" t="s">
        <v>251</v>
      </c>
      <c r="B169" s="64">
        <v>7</v>
      </c>
      <c r="C169" s="112" t="s">
        <v>11</v>
      </c>
      <c r="D169" s="65">
        <v>203</v>
      </c>
      <c r="E169" s="66">
        <v>0</v>
      </c>
      <c r="F169" s="80"/>
      <c r="G169" s="80">
        <v>500</v>
      </c>
      <c r="H169" s="80">
        <v>70</v>
      </c>
      <c r="I169" s="80">
        <v>500</v>
      </c>
      <c r="J169" s="80">
        <v>500</v>
      </c>
      <c r="K169" s="80">
        <v>200</v>
      </c>
      <c r="L169" s="80"/>
      <c r="M169" s="80"/>
      <c r="N169" s="80"/>
      <c r="O169" s="81"/>
      <c r="P169" s="80"/>
      <c r="Q169" s="80"/>
      <c r="R169" s="83">
        <f>SUM('Cuota-Pago=Saldo'!AN172)</f>
        <v>-2561.7966956054715</v>
      </c>
    </row>
    <row r="170" spans="1:25" ht="20.100000000000001" customHeight="1" x14ac:dyDescent="0.45">
      <c r="A170" s="69" t="s">
        <v>252</v>
      </c>
      <c r="B170" s="64">
        <v>8</v>
      </c>
      <c r="C170" s="112" t="s">
        <v>11</v>
      </c>
      <c r="D170" s="65">
        <v>204</v>
      </c>
      <c r="E170" s="66">
        <v>0</v>
      </c>
      <c r="F170" s="80"/>
      <c r="G170" s="80">
        <v>713.85</v>
      </c>
      <c r="H170" s="80">
        <v>375.46</v>
      </c>
      <c r="I170" s="80">
        <v>369.24</v>
      </c>
      <c r="J170" s="80">
        <v>369.24</v>
      </c>
      <c r="K170" s="80">
        <v>400</v>
      </c>
      <c r="L170" s="80">
        <v>414.88</v>
      </c>
      <c r="M170" s="80">
        <v>417.94</v>
      </c>
      <c r="N170" s="80">
        <v>377.19</v>
      </c>
      <c r="O170" s="80"/>
      <c r="P170" s="80">
        <v>745.6</v>
      </c>
      <c r="Q170" s="80"/>
      <c r="R170" s="83">
        <f>SUM('Cuota-Pago=Saldo'!AN173)</f>
        <v>-385.42569831160944</v>
      </c>
    </row>
    <row r="171" spans="1:25" ht="20.100000000000001" customHeight="1" x14ac:dyDescent="0.45">
      <c r="A171" s="69" t="s">
        <v>253</v>
      </c>
      <c r="B171" s="64">
        <v>9</v>
      </c>
      <c r="C171" s="112" t="s">
        <v>11</v>
      </c>
      <c r="D171" s="65">
        <v>301</v>
      </c>
      <c r="E171" s="66">
        <v>0</v>
      </c>
      <c r="F171" s="80">
        <v>329.37</v>
      </c>
      <c r="G171" s="80">
        <v>380.95</v>
      </c>
      <c r="H171" s="80">
        <v>369.82</v>
      </c>
      <c r="I171" s="80">
        <v>373.47</v>
      </c>
      <c r="J171" s="80">
        <v>382.01</v>
      </c>
      <c r="K171" s="80">
        <v>377.08</v>
      </c>
      <c r="L171" s="80">
        <v>375.82</v>
      </c>
      <c r="M171" s="80">
        <v>371.41</v>
      </c>
      <c r="N171" s="80">
        <v>380.09</v>
      </c>
      <c r="O171" s="80">
        <v>376.24</v>
      </c>
      <c r="P171" s="80">
        <v>368.98</v>
      </c>
      <c r="Q171" s="80">
        <v>366.98</v>
      </c>
      <c r="R171" s="83">
        <f>SUM('Cuota-Pago=Saldo'!AN174)</f>
        <v>-6.6953600137367175E-3</v>
      </c>
    </row>
    <row r="172" spans="1:25" ht="20.100000000000001" customHeight="1" x14ac:dyDescent="0.45">
      <c r="A172" s="69" t="s">
        <v>254</v>
      </c>
      <c r="B172" s="64">
        <v>10</v>
      </c>
      <c r="C172" s="112" t="s">
        <v>11</v>
      </c>
      <c r="D172" s="65">
        <v>302</v>
      </c>
      <c r="E172" s="66">
        <v>0</v>
      </c>
      <c r="F172" s="80"/>
      <c r="G172" s="80"/>
      <c r="H172" s="80" t="s">
        <v>12</v>
      </c>
      <c r="I172" s="80">
        <v>1500</v>
      </c>
      <c r="J172" s="80"/>
      <c r="K172" s="80"/>
      <c r="L172" s="80"/>
      <c r="M172" s="80"/>
      <c r="N172" s="80"/>
      <c r="O172" s="80"/>
      <c r="P172" s="80"/>
      <c r="Q172" s="80"/>
      <c r="R172" s="83">
        <f>SUM('Cuota-Pago=Saldo'!AN175)</f>
        <v>-2960.0282782514287</v>
      </c>
      <c r="T172" s="303" t="s">
        <v>342</v>
      </c>
      <c r="U172" s="303"/>
      <c r="V172" s="303"/>
      <c r="W172" s="303"/>
      <c r="X172" s="303"/>
      <c r="Y172" s="303"/>
    </row>
    <row r="173" spans="1:25" ht="20.100000000000001" customHeight="1" x14ac:dyDescent="0.45">
      <c r="A173" s="69" t="s">
        <v>255</v>
      </c>
      <c r="B173" s="64">
        <v>11</v>
      </c>
      <c r="C173" s="112" t="s">
        <v>11</v>
      </c>
      <c r="D173" s="65">
        <v>303</v>
      </c>
      <c r="E173" s="66">
        <v>0</v>
      </c>
      <c r="F173" s="80">
        <v>329.12</v>
      </c>
      <c r="G173" s="80"/>
      <c r="H173" s="80">
        <v>712.29</v>
      </c>
      <c r="I173" s="80"/>
      <c r="J173" s="80">
        <v>772.13</v>
      </c>
      <c r="K173" s="80">
        <v>389.82</v>
      </c>
      <c r="L173" s="80">
        <v>381.1</v>
      </c>
      <c r="M173" s="80">
        <v>378.35</v>
      </c>
      <c r="N173" s="80">
        <v>383.52</v>
      </c>
      <c r="O173" s="80">
        <v>379.63</v>
      </c>
      <c r="P173" s="80">
        <v>385</v>
      </c>
      <c r="Q173" s="80">
        <v>382.68</v>
      </c>
      <c r="R173" s="83">
        <f>SUM('Cuota-Pago=Saldo'!AN176)</f>
        <v>-5.7159511965210186E-4</v>
      </c>
      <c r="S173" s="72" t="s">
        <v>12</v>
      </c>
    </row>
    <row r="174" spans="1:25" ht="20.100000000000001" customHeight="1" x14ac:dyDescent="0.45">
      <c r="A174" s="63" t="s">
        <v>256</v>
      </c>
      <c r="B174" s="64">
        <v>12</v>
      </c>
      <c r="C174" s="112" t="s">
        <v>11</v>
      </c>
      <c r="D174" s="65">
        <v>304</v>
      </c>
      <c r="E174" s="66">
        <v>0</v>
      </c>
      <c r="F174" s="80">
        <v>350.83</v>
      </c>
      <c r="G174" s="80">
        <v>461.52</v>
      </c>
      <c r="H174" s="80">
        <v>400.54</v>
      </c>
      <c r="I174" s="80">
        <v>412</v>
      </c>
      <c r="J174" s="80">
        <v>442</v>
      </c>
      <c r="K174" s="80">
        <v>429.7</v>
      </c>
      <c r="L174" s="80">
        <v>372.08</v>
      </c>
      <c r="M174" s="80">
        <v>512.66999999999996</v>
      </c>
      <c r="N174" s="80">
        <v>333.85</v>
      </c>
      <c r="O174" s="80"/>
      <c r="P174" s="80"/>
      <c r="Q174" s="80">
        <v>1034.97</v>
      </c>
      <c r="R174" s="83">
        <f>SUM('Cuota-Pago=Saldo'!AN177)</f>
        <v>-1.1470710974208487E-3</v>
      </c>
    </row>
    <row r="175" spans="1:25" ht="20.100000000000001" customHeight="1" x14ac:dyDescent="0.45">
      <c r="A175" s="69" t="s">
        <v>257</v>
      </c>
      <c r="B175" s="64">
        <v>13</v>
      </c>
      <c r="C175" s="112" t="s">
        <v>11</v>
      </c>
      <c r="D175" s="65">
        <v>401</v>
      </c>
      <c r="E175" s="66">
        <v>0</v>
      </c>
      <c r="F175" s="80">
        <v>323.62</v>
      </c>
      <c r="G175" s="80">
        <v>354.84</v>
      </c>
      <c r="H175" s="80"/>
      <c r="I175" s="80"/>
      <c r="J175" s="80"/>
      <c r="K175" s="80"/>
      <c r="L175" s="80"/>
      <c r="M175" s="80">
        <v>1995.29</v>
      </c>
      <c r="N175" s="80"/>
      <c r="O175" s="80"/>
      <c r="P175" s="80"/>
      <c r="Q175" s="80">
        <f>1292.33+600</f>
        <v>1892.33</v>
      </c>
      <c r="R175" s="83">
        <f>SUM('Cuota-Pago=Saldo'!AN178)</f>
        <v>599.99935888553705</v>
      </c>
    </row>
    <row r="176" spans="1:25" ht="20.100000000000001" customHeight="1" x14ac:dyDescent="0.45">
      <c r="A176" s="63" t="s">
        <v>258</v>
      </c>
      <c r="B176" s="64">
        <v>14</v>
      </c>
      <c r="C176" s="112" t="s">
        <v>11</v>
      </c>
      <c r="D176" s="65">
        <v>402</v>
      </c>
      <c r="E176" s="66">
        <v>0</v>
      </c>
      <c r="F176" s="80">
        <v>322.73</v>
      </c>
      <c r="G176" s="80"/>
      <c r="H176" s="80">
        <v>719.5</v>
      </c>
      <c r="I176" s="80">
        <v>352.28</v>
      </c>
      <c r="J176" s="80">
        <v>369.33</v>
      </c>
      <c r="K176" s="80">
        <v>359.68</v>
      </c>
      <c r="L176" s="80">
        <v>356.47</v>
      </c>
      <c r="M176" s="80">
        <v>361.5</v>
      </c>
      <c r="N176" s="80">
        <v>358.06</v>
      </c>
      <c r="O176" s="80">
        <v>354.29</v>
      </c>
      <c r="P176" s="80">
        <v>352.1</v>
      </c>
      <c r="Q176" s="80"/>
      <c r="R176" s="83">
        <f>SUM('Cuota-Pago=Saldo'!AN179)</f>
        <v>-356.09514306770291</v>
      </c>
    </row>
    <row r="177" spans="1:24" ht="20.100000000000001" customHeight="1" x14ac:dyDescent="0.45">
      <c r="A177" s="69" t="s">
        <v>259</v>
      </c>
      <c r="B177" s="64">
        <v>15</v>
      </c>
      <c r="C177" s="112" t="s">
        <v>11</v>
      </c>
      <c r="D177" s="71">
        <v>403</v>
      </c>
      <c r="E177" s="66">
        <v>0</v>
      </c>
      <c r="F177" s="80">
        <v>337</v>
      </c>
      <c r="G177" s="80">
        <v>388</v>
      </c>
      <c r="H177" s="80">
        <v>392</v>
      </c>
      <c r="I177" s="80">
        <v>388</v>
      </c>
      <c r="J177" s="80">
        <v>403</v>
      </c>
      <c r="K177" s="80">
        <v>392</v>
      </c>
      <c r="L177" s="80">
        <v>388</v>
      </c>
      <c r="M177" s="80">
        <v>387.6</v>
      </c>
      <c r="N177" s="80">
        <v>373</v>
      </c>
      <c r="O177" s="80">
        <v>368</v>
      </c>
      <c r="P177" s="80">
        <v>378</v>
      </c>
      <c r="Q177" s="80">
        <v>375</v>
      </c>
      <c r="R177" s="83">
        <f>SUM('Cuota-Pago=Saldo'!AN180)</f>
        <v>0.69109323953165358</v>
      </c>
    </row>
    <row r="178" spans="1:24" ht="20.100000000000001" customHeight="1" x14ac:dyDescent="0.45">
      <c r="A178" s="63" t="s">
        <v>260</v>
      </c>
      <c r="B178" s="64">
        <v>16</v>
      </c>
      <c r="C178" s="112" t="s">
        <v>11</v>
      </c>
      <c r="D178" s="65">
        <v>404</v>
      </c>
      <c r="E178" s="66">
        <v>0</v>
      </c>
      <c r="F178" s="80">
        <v>323.47000000000003</v>
      </c>
      <c r="G178" s="80">
        <v>328.99</v>
      </c>
      <c r="H178" s="80">
        <v>500</v>
      </c>
      <c r="I178" s="80">
        <v>370.95</v>
      </c>
      <c r="J178" s="80">
        <v>276.89</v>
      </c>
      <c r="K178" s="80">
        <v>383.5</v>
      </c>
      <c r="L178" s="80">
        <v>380.96</v>
      </c>
      <c r="M178" s="80">
        <v>379.3</v>
      </c>
      <c r="N178" s="80">
        <v>405.11</v>
      </c>
      <c r="O178" s="80">
        <v>401.14</v>
      </c>
      <c r="P178" s="80"/>
      <c r="Q178" s="80"/>
      <c r="R178" s="83">
        <f>SUM('Cuota-Pago=Saldo'!AN181)</f>
        <v>-797.28150748087717</v>
      </c>
    </row>
    <row r="179" spans="1:24" ht="20.100000000000001" customHeight="1" x14ac:dyDescent="0.45">
      <c r="A179" s="69" t="s">
        <v>267</v>
      </c>
      <c r="B179" s="64">
        <v>17</v>
      </c>
      <c r="C179" s="112" t="s">
        <v>11</v>
      </c>
      <c r="D179" s="65">
        <v>501</v>
      </c>
      <c r="E179" s="66">
        <v>0</v>
      </c>
      <c r="F179" s="80"/>
      <c r="G179" s="80"/>
      <c r="H179" s="80">
        <v>1500</v>
      </c>
      <c r="I179" s="80"/>
      <c r="J179" s="80"/>
      <c r="K179" s="80"/>
      <c r="L179" s="80"/>
      <c r="M179" s="80"/>
      <c r="N179" s="80"/>
      <c r="O179" s="80"/>
      <c r="P179" s="80"/>
      <c r="Q179" s="80"/>
      <c r="R179" s="83">
        <f>SUM('Cuota-Pago=Saldo'!AN182)</f>
        <v>-3341.8210919952994</v>
      </c>
    </row>
    <row r="180" spans="1:24" ht="20.100000000000001" customHeight="1" x14ac:dyDescent="0.45">
      <c r="A180" s="69" t="s">
        <v>261</v>
      </c>
      <c r="B180" s="64">
        <v>18</v>
      </c>
      <c r="C180" s="112" t="s">
        <v>11</v>
      </c>
      <c r="D180" s="65">
        <v>502</v>
      </c>
      <c r="E180" s="66">
        <v>0</v>
      </c>
      <c r="F180" s="80"/>
      <c r="G180" s="80">
        <v>385</v>
      </c>
      <c r="H180" s="80"/>
      <c r="I180" s="80">
        <v>760</v>
      </c>
      <c r="J180" s="80"/>
      <c r="K180" s="80"/>
      <c r="L180" s="80">
        <v>1188.77</v>
      </c>
      <c r="M180" s="80">
        <v>392.46</v>
      </c>
      <c r="N180" s="80">
        <v>376.85</v>
      </c>
      <c r="O180" s="80">
        <v>373</v>
      </c>
      <c r="P180" s="80">
        <v>420.95</v>
      </c>
      <c r="Q180" s="80"/>
      <c r="R180" s="83">
        <f>SUM('Cuota-Pago=Saldo'!AN183)</f>
        <v>-396.71181346520279</v>
      </c>
    </row>
    <row r="181" spans="1:24" ht="20.100000000000001" customHeight="1" x14ac:dyDescent="0.45">
      <c r="A181" s="69" t="s">
        <v>262</v>
      </c>
      <c r="B181" s="64">
        <v>19</v>
      </c>
      <c r="C181" s="112" t="s">
        <v>11</v>
      </c>
      <c r="D181" s="65">
        <v>503</v>
      </c>
      <c r="E181" s="66">
        <v>0</v>
      </c>
      <c r="F181" s="80">
        <v>324</v>
      </c>
      <c r="G181" s="80">
        <v>384</v>
      </c>
      <c r="H181" s="80">
        <v>406.38</v>
      </c>
      <c r="I181" s="80">
        <v>385</v>
      </c>
      <c r="J181" s="80">
        <v>399.04</v>
      </c>
      <c r="K181" s="80">
        <v>387.21</v>
      </c>
      <c r="L181" s="80">
        <v>383.25</v>
      </c>
      <c r="M181" s="80">
        <v>365.64</v>
      </c>
      <c r="N181" s="80">
        <v>382.02</v>
      </c>
      <c r="O181" s="80">
        <v>378.06</v>
      </c>
      <c r="P181" s="80">
        <v>398</v>
      </c>
      <c r="Q181" s="80"/>
      <c r="R181" s="83">
        <f>SUM('Cuota-Pago=Saldo'!AN184)</f>
        <v>-382.88285915249992</v>
      </c>
    </row>
    <row r="182" spans="1:24" ht="20.100000000000001" customHeight="1" x14ac:dyDescent="0.45">
      <c r="A182" s="63" t="s">
        <v>263</v>
      </c>
      <c r="B182" s="64">
        <v>20</v>
      </c>
      <c r="C182" s="112" t="s">
        <v>11</v>
      </c>
      <c r="D182" s="65">
        <v>504</v>
      </c>
      <c r="E182" s="66">
        <v>0</v>
      </c>
      <c r="F182" s="80"/>
      <c r="G182" s="80">
        <v>500</v>
      </c>
      <c r="H182" s="80"/>
      <c r="I182" s="80">
        <v>500</v>
      </c>
      <c r="J182" s="80">
        <v>500</v>
      </c>
      <c r="K182" s="80">
        <v>500</v>
      </c>
      <c r="L182" s="80">
        <v>500</v>
      </c>
      <c r="M182" s="80">
        <v>500</v>
      </c>
      <c r="N182" s="80">
        <v>500</v>
      </c>
      <c r="O182" s="80" t="s">
        <v>12</v>
      </c>
      <c r="P182" s="80">
        <v>700</v>
      </c>
      <c r="Q182" s="80"/>
      <c r="R182" s="83">
        <f>SUM('Cuota-Pago=Saldo'!AN185)</f>
        <v>-412.87208870420847</v>
      </c>
      <c r="S182" s="72" t="s">
        <v>12</v>
      </c>
    </row>
    <row r="183" spans="1:24" ht="15.75" x14ac:dyDescent="0.5">
      <c r="A183" s="76"/>
      <c r="B183" s="76"/>
      <c r="C183" s="114"/>
      <c r="D183" s="76"/>
      <c r="E183" s="77"/>
      <c r="F183" s="78"/>
      <c r="G183" s="78"/>
      <c r="H183" s="78" t="s">
        <v>12</v>
      </c>
      <c r="I183" s="78"/>
      <c r="J183" s="78"/>
      <c r="K183" s="78"/>
      <c r="L183" s="78"/>
      <c r="M183" s="78"/>
      <c r="N183" s="78"/>
      <c r="O183" s="78"/>
      <c r="P183" s="78"/>
      <c r="Q183" s="61"/>
      <c r="R183" s="61"/>
      <c r="W183" s="100" t="s">
        <v>12</v>
      </c>
    </row>
    <row r="184" spans="1:24" x14ac:dyDescent="0.45">
      <c r="R184" s="89" t="s">
        <v>12</v>
      </c>
      <c r="W184" t="s">
        <v>12</v>
      </c>
      <c r="X184" s="101" t="s">
        <v>12</v>
      </c>
    </row>
    <row r="185" spans="1:24" x14ac:dyDescent="0.45">
      <c r="Q185" s="79"/>
      <c r="R185" s="79"/>
      <c r="V185" s="72"/>
      <c r="W185" s="72"/>
    </row>
    <row r="186" spans="1:24" x14ac:dyDescent="0.45">
      <c r="Q186" s="79"/>
      <c r="R186" s="79"/>
      <c r="V186" s="72"/>
      <c r="W186" s="72"/>
    </row>
    <row r="187" spans="1:24" x14ac:dyDescent="0.45">
      <c r="Q187" s="79"/>
      <c r="R187" s="79"/>
      <c r="V187" s="72"/>
      <c r="W187" s="72"/>
      <c r="X187" s="72"/>
    </row>
    <row r="188" spans="1:24" x14ac:dyDescent="0.45">
      <c r="Q188" s="79"/>
      <c r="R188" s="79"/>
      <c r="V188" s="72"/>
      <c r="W188" s="72"/>
      <c r="X188" s="72"/>
    </row>
    <row r="189" spans="1:24" x14ac:dyDescent="0.45">
      <c r="Q189" s="79"/>
      <c r="R189" s="79"/>
      <c r="V189" s="72"/>
      <c r="W189" s="72"/>
      <c r="X189" s="72"/>
    </row>
    <row r="190" spans="1:24" x14ac:dyDescent="0.45">
      <c r="Q190" s="79"/>
      <c r="R190" s="79"/>
      <c r="V190" s="72"/>
      <c r="W190" s="72"/>
      <c r="X190" s="72"/>
    </row>
    <row r="191" spans="1:24" x14ac:dyDescent="0.45">
      <c r="Q191" s="79"/>
      <c r="R191" s="79"/>
      <c r="V191" s="72"/>
      <c r="W191" s="72"/>
      <c r="X191" s="72"/>
    </row>
    <row r="192" spans="1:24" x14ac:dyDescent="0.45">
      <c r="Q192" s="79"/>
      <c r="R192" s="79"/>
      <c r="V192" s="72"/>
      <c r="W192" s="72"/>
      <c r="X192" s="72"/>
    </row>
    <row r="193" spans="17:24" x14ac:dyDescent="0.45">
      <c r="Q193" s="79"/>
      <c r="R193" s="79"/>
      <c r="V193" s="72"/>
      <c r="W193" s="72"/>
      <c r="X193" s="72"/>
    </row>
    <row r="194" spans="17:24" x14ac:dyDescent="0.45">
      <c r="Q194" s="79"/>
      <c r="R194" s="79"/>
      <c r="V194" s="72"/>
      <c r="W194" s="72"/>
      <c r="X194" s="72"/>
    </row>
    <row r="195" spans="17:24" x14ac:dyDescent="0.45">
      <c r="Q195" s="79"/>
      <c r="R195" s="79"/>
      <c r="V195" s="72"/>
      <c r="W195" s="72"/>
      <c r="X195" s="72"/>
    </row>
    <row r="196" spans="17:24" x14ac:dyDescent="0.45">
      <c r="Q196" s="79"/>
      <c r="R196" s="79"/>
      <c r="V196" s="72"/>
      <c r="W196" s="72"/>
      <c r="X196" s="72"/>
    </row>
    <row r="197" spans="17:24" x14ac:dyDescent="0.45">
      <c r="Q197" s="79"/>
      <c r="R197" s="79"/>
      <c r="V197" s="72"/>
      <c r="W197" s="72"/>
      <c r="X197" s="72"/>
    </row>
  </sheetData>
  <mergeCells count="6">
    <mergeCell ref="T1:V1"/>
    <mergeCell ref="T118:Y118"/>
    <mergeCell ref="T172:Y172"/>
    <mergeCell ref="T168:Y168"/>
    <mergeCell ref="T101:Y101"/>
    <mergeCell ref="T166:Y166"/>
  </mergeCells>
  <conditionalFormatting sqref="R3:R182">
    <cfRule type="cellIs" dxfId="19" priority="1" operator="lessThan">
      <formula>-1000</formula>
    </cfRule>
    <cfRule type="cellIs" dxfId="18" priority="2" operator="between">
      <formula>0</formula>
      <formula>-0.05</formula>
    </cfRule>
  </conditionalFormatting>
  <pageMargins left="0.31496062992125984" right="0.31496062992125984" top="0.94488188976377963" bottom="0.35433070866141736" header="0.31496062992125984" footer="0.31496062992125984"/>
  <pageSetup paperSize="9" scale="105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AJ41"/>
  <sheetViews>
    <sheetView showGridLines="0" zoomScale="80" zoomScaleNormal="80" workbookViewId="0">
      <selection activeCell="B17" sqref="B17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s="8" customFormat="1" ht="18.95" customHeight="1" x14ac:dyDescent="0.5">
      <c r="B1" s="33" t="str">
        <f>B!$B$1</f>
        <v>DICIEMBRE</v>
      </c>
      <c r="C1" s="34" t="s">
        <v>0</v>
      </c>
      <c r="D1" s="35" t="s">
        <v>19</v>
      </c>
      <c r="E1" s="36" t="s">
        <v>264</v>
      </c>
      <c r="F1" s="37"/>
      <c r="G1" s="169"/>
      <c r="H1" s="169"/>
      <c r="I1" s="169"/>
      <c r="J1" s="16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</row>
    <row r="2" spans="2:36" ht="18.95" customHeight="1" x14ac:dyDescent="0.5">
      <c r="B2" s="33" t="s">
        <v>12</v>
      </c>
      <c r="C2" s="31" t="s">
        <v>6</v>
      </c>
      <c r="D2" s="31">
        <v>101</v>
      </c>
      <c r="E2" s="176">
        <f>SUM('Cuota-Pago=Saldo'!AN66)</f>
        <v>-4.8767690077511361E-3</v>
      </c>
      <c r="F2" s="33"/>
      <c r="G2" s="169"/>
      <c r="H2" s="169"/>
      <c r="I2" s="169"/>
      <c r="J2" s="169"/>
    </row>
    <row r="3" spans="2:36" s="8" customFormat="1" ht="18.95" customHeight="1" x14ac:dyDescent="0.5">
      <c r="C3" s="31" t="s">
        <v>6</v>
      </c>
      <c r="D3" s="31">
        <v>102</v>
      </c>
      <c r="E3" s="176">
        <f>SUM('Cuota-Pago=Saldo'!AN67)</f>
        <v>1.3626840463416556E-3</v>
      </c>
      <c r="F3" s="33"/>
      <c r="G3" s="169"/>
      <c r="H3" s="169"/>
      <c r="I3" s="169"/>
      <c r="J3" s="16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s="8" customFormat="1" ht="18.95" customHeight="1" x14ac:dyDescent="0.5">
      <c r="C4" s="31" t="s">
        <v>6</v>
      </c>
      <c r="D4" s="31">
        <v>103</v>
      </c>
      <c r="E4" s="176">
        <f>SUM('Cuota-Pago=Saldo'!AN68)</f>
        <v>-835.11771895501317</v>
      </c>
      <c r="F4" s="33"/>
      <c r="G4" s="169"/>
      <c r="H4" s="169"/>
      <c r="I4" s="169"/>
      <c r="J4" s="16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s="8" customFormat="1" ht="18.95" customHeight="1" x14ac:dyDescent="0.5">
      <c r="C5" s="31" t="s">
        <v>6</v>
      </c>
      <c r="D5" s="31">
        <v>104</v>
      </c>
      <c r="E5" s="176">
        <f>SUM('Cuota-Pago=Saldo'!AN69)</f>
        <v>35.979209204886729</v>
      </c>
      <c r="F5" s="33"/>
      <c r="G5" s="169"/>
      <c r="H5" s="169"/>
      <c r="I5" s="169"/>
      <c r="J5" s="16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spans="2:36" s="8" customFormat="1" ht="18.95" customHeight="1" x14ac:dyDescent="0.5">
      <c r="C6" s="31" t="s">
        <v>6</v>
      </c>
      <c r="D6" s="31">
        <v>201</v>
      </c>
      <c r="E6" s="176">
        <f>SUM('Cuota-Pago=Saldo'!AN70)</f>
        <v>-369.9158720708997</v>
      </c>
      <c r="F6" s="33"/>
      <c r="G6" s="169"/>
      <c r="H6" s="169"/>
      <c r="I6" s="169"/>
      <c r="J6" s="16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2:36" s="8" customFormat="1" ht="18.95" customHeight="1" x14ac:dyDescent="0.5">
      <c r="C7" s="31" t="s">
        <v>6</v>
      </c>
      <c r="D7" s="31">
        <v>202</v>
      </c>
      <c r="E7" s="176">
        <f>SUM('Cuota-Pago=Saldo'!AN71)</f>
        <v>-3.7785487156156705E-3</v>
      </c>
      <c r="F7" s="33"/>
      <c r="G7" s="353" t="s">
        <v>308</v>
      </c>
      <c r="H7" s="353"/>
      <c r="I7" s="183">
        <v>5</v>
      </c>
      <c r="J7" s="16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2:36" ht="18.95" customHeight="1" x14ac:dyDescent="0.5">
      <c r="C8" s="31" t="s">
        <v>6</v>
      </c>
      <c r="D8" s="31">
        <v>203</v>
      </c>
      <c r="E8" s="176">
        <f>SUM('Cuota-Pago=Saldo'!AN72)</f>
        <v>7.3110677010390646E-4</v>
      </c>
      <c r="F8" s="33"/>
      <c r="G8" s="164"/>
      <c r="H8" s="164"/>
      <c r="I8" s="183">
        <v>15</v>
      </c>
      <c r="J8" s="169"/>
    </row>
    <row r="9" spans="2:36" ht="18.95" customHeight="1" x14ac:dyDescent="0.5">
      <c r="C9" s="31" t="s">
        <v>6</v>
      </c>
      <c r="D9" s="31">
        <v>204</v>
      </c>
      <c r="E9" s="176">
        <f>SUM('Cuota-Pago=Saldo'!AN73)</f>
        <v>9.3255407369952081E-4</v>
      </c>
      <c r="F9" s="33"/>
      <c r="G9" s="164"/>
      <c r="H9" s="164"/>
      <c r="I9" s="183">
        <v>20</v>
      </c>
      <c r="J9" s="169"/>
    </row>
    <row r="10" spans="2:36" ht="18.95" customHeight="1" x14ac:dyDescent="0.5">
      <c r="C10" s="31" t="s">
        <v>6</v>
      </c>
      <c r="D10" s="31">
        <v>301</v>
      </c>
      <c r="E10" s="176">
        <f>SUM('Cuota-Pago=Saldo'!AN74)</f>
        <v>-372.91116741318359</v>
      </c>
      <c r="F10" s="33"/>
      <c r="G10" s="169"/>
      <c r="H10" s="169"/>
      <c r="I10" s="169"/>
      <c r="J10" s="169"/>
    </row>
    <row r="11" spans="2:36" ht="18.95" customHeight="1" x14ac:dyDescent="0.35">
      <c r="C11" s="31" t="s">
        <v>6</v>
      </c>
      <c r="D11" s="31">
        <v>302</v>
      </c>
      <c r="E11" s="176">
        <f>SUM('Cuota-Pago=Saldo'!AN75)</f>
        <v>2.078574486006346E-3</v>
      </c>
      <c r="G11" s="169"/>
      <c r="H11" s="169"/>
      <c r="I11" s="169"/>
      <c r="J11" s="169"/>
    </row>
    <row r="12" spans="2:36" s="12" customFormat="1" ht="18.95" customHeight="1" x14ac:dyDescent="0.35">
      <c r="C12" s="31" t="s">
        <v>6</v>
      </c>
      <c r="D12" s="31">
        <v>303</v>
      </c>
      <c r="E12" s="176">
        <f>SUM('Cuota-Pago=Saldo'!AN76)</f>
        <v>1.9190802915431959E-3</v>
      </c>
      <c r="G12" s="169"/>
      <c r="H12" s="169"/>
      <c r="I12" s="169"/>
      <c r="J12" s="169"/>
    </row>
    <row r="13" spans="2:36" s="12" customFormat="1" ht="18.95" customHeight="1" x14ac:dyDescent="0.35">
      <c r="C13" s="31" t="s">
        <v>6</v>
      </c>
      <c r="D13" s="31">
        <v>304</v>
      </c>
      <c r="E13" s="176">
        <f>SUM('Cuota-Pago=Saldo'!AN77)</f>
        <v>-721.1461194361674</v>
      </c>
      <c r="G13" s="169"/>
      <c r="H13" s="169"/>
      <c r="I13" s="169"/>
      <c r="J13" s="169"/>
    </row>
    <row r="14" spans="2:36" s="12" customFormat="1" ht="18.95" customHeight="1" x14ac:dyDescent="0.35">
      <c r="C14" s="31" t="s">
        <v>6</v>
      </c>
      <c r="D14" s="31">
        <v>401</v>
      </c>
      <c r="E14" s="176">
        <f>SUM('Cuota-Pago=Saldo'!AN78)</f>
        <v>-4.913992027866243E-3</v>
      </c>
    </row>
    <row r="15" spans="2:36" s="12" customFormat="1" ht="18.95" customHeight="1" x14ac:dyDescent="0.35">
      <c r="C15" s="31" t="s">
        <v>6</v>
      </c>
      <c r="D15" s="31">
        <v>402</v>
      </c>
      <c r="E15" s="176">
        <f>SUM('Cuota-Pago=Saldo'!AN79)</f>
        <v>-1720.0479312405937</v>
      </c>
    </row>
    <row r="16" spans="2:36" s="12" customFormat="1" ht="18.95" customHeight="1" x14ac:dyDescent="0.35">
      <c r="C16" s="31" t="s">
        <v>6</v>
      </c>
      <c r="D16" s="32">
        <v>403</v>
      </c>
      <c r="E16" s="176">
        <f>SUM('Cuota-Pago=Saldo'!AN80)</f>
        <v>-37.308580084626044</v>
      </c>
    </row>
    <row r="17" spans="2:16" s="12" customFormat="1" ht="18.95" customHeight="1" x14ac:dyDescent="0.5">
      <c r="B17" s="177" t="s">
        <v>332</v>
      </c>
      <c r="C17" s="31" t="s">
        <v>6</v>
      </c>
      <c r="D17" s="31">
        <v>404</v>
      </c>
      <c r="E17" s="176">
        <f>SUM('Cuota-Pago=Saldo'!AN81)</f>
        <v>-0.133870760603088</v>
      </c>
    </row>
    <row r="18" spans="2:16" s="12" customFormat="1" ht="18.95" customHeight="1" x14ac:dyDescent="0.35">
      <c r="B18" s="352" t="s">
        <v>295</v>
      </c>
      <c r="C18" s="31" t="s">
        <v>6</v>
      </c>
      <c r="D18" s="31">
        <v>501</v>
      </c>
      <c r="E18" s="176">
        <f>SUM('Cuota-Pago=Saldo'!AN82)</f>
        <v>1.0386354627021888</v>
      </c>
    </row>
    <row r="19" spans="2:16" s="12" customFormat="1" ht="18.95" customHeight="1" x14ac:dyDescent="0.35">
      <c r="B19" s="352"/>
      <c r="C19" s="31" t="s">
        <v>6</v>
      </c>
      <c r="D19" s="31">
        <v>502</v>
      </c>
      <c r="E19" s="176">
        <f>SUM('Cuota-Pago=Saldo'!AN83)</f>
        <v>0.14804453152464703</v>
      </c>
    </row>
    <row r="20" spans="2:16" s="12" customFormat="1" ht="18.95" customHeight="1" x14ac:dyDescent="0.4">
      <c r="B20" s="175">
        <f ca="1">NOW()</f>
        <v>46027.277088657407</v>
      </c>
      <c r="C20" s="31" t="s">
        <v>6</v>
      </c>
      <c r="D20" s="31">
        <v>503</v>
      </c>
      <c r="E20" s="176">
        <f>SUM('Cuota-Pago=Saldo'!AN84)</f>
        <v>5.4937664856424817E-4</v>
      </c>
    </row>
    <row r="21" spans="2:16" s="12" customFormat="1" ht="18.95" customHeight="1" x14ac:dyDescent="0.5">
      <c r="B21" s="174">
        <f ca="1">NOW()</f>
        <v>46027.277088657407</v>
      </c>
      <c r="C21" s="31" t="s">
        <v>6</v>
      </c>
      <c r="D21" s="31">
        <v>504</v>
      </c>
      <c r="E21" s="176">
        <f>SUM('Cuota-Pago=Saldo'!AN85)</f>
        <v>1.8596791892377951E-3</v>
      </c>
      <c r="H21" s="168" t="s">
        <v>311</v>
      </c>
    </row>
    <row r="22" spans="2:16" s="33" customFormat="1" ht="18.95" customHeight="1" x14ac:dyDescent="0.5">
      <c r="B22" s="163" t="s">
        <v>284</v>
      </c>
      <c r="C22" s="38"/>
      <c r="D22" s="38"/>
      <c r="E22" s="39"/>
    </row>
    <row r="23" spans="2:16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16" s="33" customFormat="1" ht="18.95" customHeight="1" x14ac:dyDescent="0.5">
      <c r="C24" s="38"/>
      <c r="D24" s="38"/>
      <c r="E24" s="39"/>
    </row>
    <row r="25" spans="2:16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16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16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16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16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16" ht="18" customHeight="1" x14ac:dyDescent="0.35">
      <c r="B31" s="350" t="s">
        <v>327</v>
      </c>
      <c r="C31" s="350"/>
      <c r="D31" s="350"/>
      <c r="E31" s="350"/>
      <c r="F31" s="350"/>
      <c r="G31" s="350"/>
      <c r="H31" s="350"/>
      <c r="I31" s="98"/>
      <c r="J31" s="98"/>
      <c r="K31" s="91"/>
      <c r="L31" s="91"/>
      <c r="M31" s="91"/>
      <c r="N31" s="91"/>
      <c r="O31" s="91"/>
      <c r="P31" s="91"/>
    </row>
    <row r="32" spans="2:16" ht="18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  <c r="K32" s="91"/>
      <c r="L32" s="91"/>
      <c r="M32" s="91"/>
      <c r="N32" s="91"/>
      <c r="O32" s="91"/>
      <c r="P32" s="91"/>
    </row>
    <row r="33" spans="2:16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  <c r="K33" s="91"/>
      <c r="L33" s="91"/>
      <c r="M33" s="91"/>
      <c r="N33" s="91"/>
      <c r="O33" s="91"/>
      <c r="P33" s="91"/>
    </row>
    <row r="34" spans="2:16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  <c r="K34" s="91"/>
      <c r="L34" s="91"/>
      <c r="M34" s="91"/>
      <c r="N34" s="91"/>
      <c r="O34" s="91"/>
      <c r="P34" s="91"/>
    </row>
    <row r="35" spans="2:16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  <c r="K35" s="91"/>
      <c r="L35" s="91"/>
      <c r="M35" s="91"/>
      <c r="N35" s="91"/>
      <c r="O35" s="91"/>
      <c r="P35" s="91"/>
    </row>
    <row r="36" spans="2:16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  <c r="K36" s="91"/>
      <c r="L36" s="91"/>
      <c r="M36" s="91"/>
      <c r="N36" s="91"/>
      <c r="O36" s="91"/>
      <c r="P36" s="91"/>
    </row>
    <row r="37" spans="2:16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  <c r="K37" s="91"/>
      <c r="L37" s="91"/>
      <c r="M37" s="91"/>
      <c r="N37" s="91"/>
      <c r="O37" s="91"/>
      <c r="P37" s="91"/>
    </row>
    <row r="38" spans="2:16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  <c r="K38" s="91"/>
      <c r="L38" s="91"/>
      <c r="M38" s="91"/>
      <c r="N38" s="91"/>
      <c r="O38" s="91"/>
      <c r="P38" s="91"/>
    </row>
    <row r="39" spans="2:16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  <c r="K39" s="91"/>
      <c r="L39" s="91"/>
      <c r="M39" s="91"/>
      <c r="N39" s="91"/>
      <c r="O39" s="91"/>
      <c r="P39" s="91"/>
    </row>
    <row r="40" spans="2:16" ht="14.25" customHeight="1" x14ac:dyDescent="0.35">
      <c r="B40" s="98"/>
      <c r="C40" s="98"/>
      <c r="D40" s="98"/>
      <c r="E40" s="98"/>
      <c r="F40" s="98"/>
      <c r="G40" s="98"/>
      <c r="H40" s="98"/>
      <c r="I40" s="98"/>
      <c r="J40" s="98"/>
    </row>
    <row r="41" spans="2:16" ht="14.25" customHeight="1" x14ac:dyDescent="0.35">
      <c r="B41" s="98"/>
      <c r="C41" s="98"/>
      <c r="D41" s="98"/>
      <c r="E41" s="98"/>
      <c r="F41" s="98"/>
      <c r="G41" s="98"/>
      <c r="H41" s="98"/>
      <c r="I41" s="98"/>
      <c r="J41" s="98"/>
    </row>
  </sheetData>
  <mergeCells count="4">
    <mergeCell ref="B23:J23"/>
    <mergeCell ref="B31:H38"/>
    <mergeCell ref="B18:B19"/>
    <mergeCell ref="G7:H7"/>
  </mergeCells>
  <conditionalFormatting sqref="E2:E21">
    <cfRule type="cellIs" dxfId="11" priority="1" operator="between">
      <formula>0</formula>
      <formula>-0.9</formula>
    </cfRule>
    <cfRule type="cellIs" dxfId="10" priority="2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verticalDpi="360" r:id="rId1"/>
  <headerFooter>
    <oddHeader>&amp;C&amp;20&amp;KFF0000CUOTA MANTENIMIENTO - 2025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AJ41"/>
  <sheetViews>
    <sheetView showGridLines="0" topLeftCell="B1" zoomScale="80" zoomScaleNormal="80" workbookViewId="0">
      <selection activeCell="B20" sqref="B20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10" s="12" customFormat="1" ht="18.95" customHeight="1" x14ac:dyDescent="0.5">
      <c r="B1" s="33" t="str">
        <f>B!$B$1</f>
        <v>DICIEMBRE</v>
      </c>
      <c r="C1" s="34" t="s">
        <v>0</v>
      </c>
      <c r="D1" s="35" t="s">
        <v>19</v>
      </c>
      <c r="E1" s="36" t="s">
        <v>264</v>
      </c>
      <c r="F1" s="37"/>
      <c r="G1" s="169"/>
      <c r="H1" s="169"/>
      <c r="I1" s="169"/>
      <c r="J1" s="169"/>
    </row>
    <row r="2" spans="2:10" s="12" customFormat="1" ht="18.95" customHeight="1" x14ac:dyDescent="0.5">
      <c r="B2" s="33" t="s">
        <v>12</v>
      </c>
      <c r="C2" s="31" t="s">
        <v>7</v>
      </c>
      <c r="D2" s="31">
        <v>101</v>
      </c>
      <c r="E2" s="176">
        <f>SUM('Cuota-Pago=Saldo'!AN86)</f>
        <v>1.2854443980359065E-6</v>
      </c>
      <c r="F2" s="33"/>
      <c r="G2" s="169"/>
      <c r="H2" s="169"/>
      <c r="I2" s="169"/>
      <c r="J2" s="169"/>
    </row>
    <row r="3" spans="2:10" ht="18.95" customHeight="1" x14ac:dyDescent="0.5">
      <c r="C3" s="31" t="s">
        <v>7</v>
      </c>
      <c r="D3" s="31">
        <v>102</v>
      </c>
      <c r="E3" s="176">
        <f>SUM('Cuota-Pago=Saldo'!AN87)</f>
        <v>-1.2429058148200056E-4</v>
      </c>
      <c r="F3" s="33"/>
      <c r="G3" s="169"/>
      <c r="H3" s="169"/>
      <c r="I3" s="169"/>
      <c r="J3" s="169"/>
    </row>
    <row r="4" spans="2:10" ht="18.95" customHeight="1" x14ac:dyDescent="0.5">
      <c r="C4" s="31" t="s">
        <v>7</v>
      </c>
      <c r="D4" s="31">
        <v>103</v>
      </c>
      <c r="E4" s="176">
        <f>SUM('Cuota-Pago=Saldo'!AN88)</f>
        <v>-338.61554958183149</v>
      </c>
      <c r="F4" s="33"/>
      <c r="G4" s="169"/>
      <c r="H4" s="169"/>
      <c r="I4" s="169"/>
      <c r="J4" s="169"/>
    </row>
    <row r="5" spans="2:10" ht="18.95" customHeight="1" x14ac:dyDescent="0.5">
      <c r="C5" s="31" t="s">
        <v>7</v>
      </c>
      <c r="D5" s="31">
        <v>104</v>
      </c>
      <c r="E5" s="176">
        <f>SUM('Cuota-Pago=Saldo'!AN89)</f>
        <v>-390.1285694000531</v>
      </c>
      <c r="F5" s="33"/>
      <c r="G5" s="169"/>
      <c r="H5" s="169"/>
      <c r="I5" s="169"/>
      <c r="J5" s="169"/>
    </row>
    <row r="6" spans="2:10" ht="18.95" customHeight="1" x14ac:dyDescent="0.5">
      <c r="C6" s="31" t="s">
        <v>7</v>
      </c>
      <c r="D6" s="31">
        <v>201</v>
      </c>
      <c r="E6" s="176">
        <f>SUM('Cuota-Pago=Saldo'!AN90)</f>
        <v>0.20694997676207549</v>
      </c>
      <c r="F6" s="33"/>
      <c r="G6" s="169"/>
      <c r="H6" s="169"/>
      <c r="I6" s="169"/>
      <c r="J6" s="169"/>
    </row>
    <row r="7" spans="2:10" ht="18.95" customHeight="1" x14ac:dyDescent="0.5">
      <c r="C7" s="31" t="s">
        <v>7</v>
      </c>
      <c r="D7" s="31">
        <v>202</v>
      </c>
      <c r="E7" s="176">
        <f>SUM('Cuota-Pago=Saldo'!AN91)</f>
        <v>-320.6871990033448</v>
      </c>
      <c r="F7" s="33"/>
      <c r="G7" s="353" t="s">
        <v>308</v>
      </c>
      <c r="H7" s="353"/>
      <c r="I7" s="183">
        <v>5</v>
      </c>
      <c r="J7" s="169"/>
    </row>
    <row r="8" spans="2:10" ht="18.95" customHeight="1" x14ac:dyDescent="0.5">
      <c r="C8" s="31" t="s">
        <v>7</v>
      </c>
      <c r="D8" s="31">
        <v>203</v>
      </c>
      <c r="E8" s="176">
        <f>SUM('Cuota-Pago=Saldo'!AN92)</f>
        <v>-2.0070048390152806E-3</v>
      </c>
      <c r="F8" s="33"/>
      <c r="G8" s="164"/>
      <c r="H8" s="164"/>
      <c r="I8" s="183">
        <v>15</v>
      </c>
      <c r="J8" s="169"/>
    </row>
    <row r="9" spans="2:10" ht="18.95" customHeight="1" x14ac:dyDescent="0.5">
      <c r="C9" s="31" t="s">
        <v>7</v>
      </c>
      <c r="D9" s="31">
        <v>204</v>
      </c>
      <c r="E9" s="176">
        <f>SUM('Cuota-Pago=Saldo'!AN93)</f>
        <v>-0.86774376001216069</v>
      </c>
      <c r="F9" s="33"/>
      <c r="G9" s="164"/>
      <c r="H9" s="164"/>
      <c r="I9" s="183">
        <v>20</v>
      </c>
      <c r="J9" s="169"/>
    </row>
    <row r="10" spans="2:10" ht="18.95" customHeight="1" x14ac:dyDescent="0.5">
      <c r="C10" s="31" t="s">
        <v>7</v>
      </c>
      <c r="D10" s="31">
        <v>301</v>
      </c>
      <c r="E10" s="176">
        <f>SUM('Cuota-Pago=Saldo'!AN94)</f>
        <v>-445.52738695155693</v>
      </c>
      <c r="F10" s="33"/>
      <c r="G10" s="169"/>
      <c r="H10" s="169"/>
      <c r="I10" s="169"/>
      <c r="J10" s="169"/>
    </row>
    <row r="11" spans="2:10" ht="18.95" customHeight="1" x14ac:dyDescent="0.35">
      <c r="C11" s="31" t="s">
        <v>7</v>
      </c>
      <c r="D11" s="31">
        <v>302</v>
      </c>
      <c r="E11" s="176">
        <f>SUM('Cuota-Pago=Saldo'!AN95)</f>
        <v>-2.2003646187158665E-3</v>
      </c>
      <c r="G11" s="169"/>
      <c r="H11" s="169"/>
      <c r="I11" s="169"/>
      <c r="J11" s="169"/>
    </row>
    <row r="12" spans="2:10" ht="18.95" customHeight="1" x14ac:dyDescent="0.35">
      <c r="C12" s="31" t="s">
        <v>7</v>
      </c>
      <c r="D12" s="31">
        <v>303</v>
      </c>
      <c r="E12" s="176">
        <f>SUM('Cuota-Pago=Saldo'!AN96)</f>
        <v>-2464.9128399009287</v>
      </c>
      <c r="G12" s="169"/>
      <c r="H12" s="169"/>
      <c r="I12" s="169"/>
      <c r="J12" s="169"/>
    </row>
    <row r="13" spans="2:10" ht="18.95" customHeight="1" x14ac:dyDescent="0.35">
      <c r="C13" s="31" t="s">
        <v>7</v>
      </c>
      <c r="D13" s="31">
        <v>304</v>
      </c>
      <c r="E13" s="176">
        <f>SUM('Cuota-Pago=Saldo'!AN97)</f>
        <v>-3.6503120696806945E-3</v>
      </c>
      <c r="G13" s="169"/>
      <c r="H13" s="169"/>
      <c r="I13" s="169"/>
      <c r="J13" s="169"/>
    </row>
    <row r="14" spans="2:10" ht="18.95" customHeight="1" x14ac:dyDescent="0.35">
      <c r="C14" s="31" t="s">
        <v>7</v>
      </c>
      <c r="D14" s="31">
        <v>401</v>
      </c>
      <c r="E14" s="176">
        <f>SUM('Cuota-Pago=Saldo'!AN98)</f>
        <v>3.8246556389935904E-3</v>
      </c>
    </row>
    <row r="15" spans="2:10" ht="18.95" customHeight="1" x14ac:dyDescent="0.35">
      <c r="C15" s="31" t="s">
        <v>7</v>
      </c>
      <c r="D15" s="31">
        <v>402</v>
      </c>
      <c r="E15" s="176">
        <f>SUM('Cuota-Pago=Saldo'!AN99)</f>
        <v>-2.2939398399444144E-3</v>
      </c>
    </row>
    <row r="16" spans="2:10" ht="18.95" customHeight="1" x14ac:dyDescent="0.35">
      <c r="C16" s="31" t="s">
        <v>7</v>
      </c>
      <c r="D16" s="32">
        <v>403</v>
      </c>
      <c r="E16" s="176">
        <f>SUM('Cuota-Pago=Saldo'!AN100)</f>
        <v>-3.4120872890071041E-3</v>
      </c>
    </row>
    <row r="17" spans="2:36" s="8" customFormat="1" ht="18.95" customHeight="1" x14ac:dyDescent="0.5">
      <c r="B17" s="177" t="s">
        <v>332</v>
      </c>
      <c r="C17" s="31" t="s">
        <v>7</v>
      </c>
      <c r="D17" s="31">
        <v>404</v>
      </c>
      <c r="E17" s="176">
        <f>SUM('Cuota-Pago=Saldo'!AN101)</f>
        <v>-3.2402337402572812E-3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</row>
    <row r="18" spans="2:36" s="8" customFormat="1" ht="18.95" customHeight="1" x14ac:dyDescent="0.4">
      <c r="B18" s="352" t="s">
        <v>295</v>
      </c>
      <c r="C18" s="31" t="s">
        <v>7</v>
      </c>
      <c r="D18" s="31">
        <v>501</v>
      </c>
      <c r="E18" s="176">
        <f>SUM('Cuota-Pago=Saldo'!AN102)</f>
        <v>1.8228190135801015E-2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</row>
    <row r="19" spans="2:36" s="8" customFormat="1" ht="18.95" customHeight="1" x14ac:dyDescent="0.4">
      <c r="B19" s="352"/>
      <c r="C19" s="31" t="s">
        <v>7</v>
      </c>
      <c r="D19" s="31">
        <v>502</v>
      </c>
      <c r="E19" s="176">
        <f>SUM('Cuota-Pago=Saldo'!AN103)</f>
        <v>0.44748498292034355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</row>
    <row r="20" spans="2:36" s="8" customFormat="1" ht="18.95" customHeight="1" x14ac:dyDescent="0.4">
      <c r="B20" s="175">
        <f ca="1">NOW()</f>
        <v>46027.277088425923</v>
      </c>
      <c r="C20" s="31" t="s">
        <v>7</v>
      </c>
      <c r="D20" s="31">
        <v>503</v>
      </c>
      <c r="E20" s="176">
        <f>SUM('Cuota-Pago=Saldo'!AN104)</f>
        <v>-1098.442281655301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</row>
    <row r="21" spans="2:36" s="8" customFormat="1" ht="18.95" customHeight="1" x14ac:dyDescent="0.5">
      <c r="B21" s="174">
        <f ca="1">NOW()</f>
        <v>46027.277088657407</v>
      </c>
      <c r="C21" s="31" t="s">
        <v>7</v>
      </c>
      <c r="D21" s="31">
        <v>504</v>
      </c>
      <c r="E21" s="176">
        <f>SUM('Cuota-Pago=Saldo'!AN105)</f>
        <v>-1.4761178817934706E-4</v>
      </c>
      <c r="H21" s="33" t="s">
        <v>311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2:36" s="33" customFormat="1" ht="18.95" customHeight="1" x14ac:dyDescent="0.5">
      <c r="B22" s="163" t="s">
        <v>284</v>
      </c>
      <c r="C22" s="38"/>
      <c r="D22" s="38"/>
      <c r="E22" s="39"/>
    </row>
    <row r="23" spans="2:36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36" s="33" customFormat="1" ht="18.95" customHeight="1" x14ac:dyDescent="0.5">
      <c r="C24" s="38"/>
      <c r="D24" s="38"/>
      <c r="E24" s="39"/>
    </row>
    <row r="25" spans="2:36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36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36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36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36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36" ht="18" customHeight="1" x14ac:dyDescent="0.35">
      <c r="B31" s="350" t="s">
        <v>327</v>
      </c>
      <c r="C31" s="350"/>
      <c r="D31" s="350"/>
      <c r="E31" s="350"/>
      <c r="F31" s="350"/>
      <c r="G31" s="350"/>
      <c r="H31" s="350"/>
      <c r="I31" s="98"/>
      <c r="J31" s="98"/>
      <c r="K31" s="91"/>
      <c r="L31" s="91"/>
      <c r="M31" s="91"/>
      <c r="N31" s="91"/>
      <c r="O31" s="91"/>
      <c r="P31" s="91"/>
    </row>
    <row r="32" spans="2:36" ht="18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  <c r="K32" s="91"/>
      <c r="L32" s="91"/>
      <c r="M32" s="91"/>
      <c r="N32" s="91"/>
      <c r="O32" s="91"/>
      <c r="P32" s="91"/>
    </row>
    <row r="33" spans="2:16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  <c r="K33" s="91"/>
      <c r="L33" s="91"/>
      <c r="M33" s="91"/>
      <c r="N33" s="91"/>
      <c r="O33" s="91"/>
      <c r="P33" s="91"/>
    </row>
    <row r="34" spans="2:16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  <c r="K34" s="91"/>
      <c r="L34" s="91"/>
      <c r="M34" s="91"/>
      <c r="N34" s="91"/>
      <c r="O34" s="91"/>
      <c r="P34" s="91"/>
    </row>
    <row r="35" spans="2:16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  <c r="K35" s="91"/>
      <c r="L35" s="91"/>
      <c r="M35" s="91"/>
      <c r="N35" s="91"/>
      <c r="O35" s="91"/>
      <c r="P35" s="91"/>
    </row>
    <row r="36" spans="2:16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  <c r="K36" s="91"/>
      <c r="L36" s="91"/>
      <c r="M36" s="91"/>
      <c r="N36" s="91"/>
      <c r="O36" s="91"/>
      <c r="P36" s="91"/>
    </row>
    <row r="37" spans="2:16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  <c r="K37" s="91"/>
      <c r="L37" s="91"/>
      <c r="M37" s="91"/>
      <c r="N37" s="91"/>
      <c r="O37" s="91"/>
      <c r="P37" s="91"/>
    </row>
    <row r="38" spans="2:16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  <c r="K38" s="91"/>
      <c r="L38" s="91"/>
      <c r="M38" s="91"/>
      <c r="N38" s="91"/>
      <c r="O38" s="91"/>
      <c r="P38" s="91"/>
    </row>
    <row r="39" spans="2:16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  <c r="K39" s="91"/>
      <c r="L39" s="91"/>
      <c r="M39" s="91"/>
      <c r="N39" s="91"/>
      <c r="O39" s="91"/>
      <c r="P39" s="91"/>
    </row>
    <row r="40" spans="2:16" ht="14.25" customHeight="1" x14ac:dyDescent="0.35">
      <c r="B40" s="98"/>
      <c r="C40" s="98"/>
      <c r="D40" s="98"/>
      <c r="E40" s="98"/>
      <c r="F40" s="98"/>
      <c r="G40" s="98"/>
      <c r="H40" s="98"/>
      <c r="I40" s="98"/>
      <c r="J40" s="98"/>
    </row>
    <row r="41" spans="2:16" ht="14.25" customHeight="1" x14ac:dyDescent="0.35">
      <c r="B41" s="98"/>
      <c r="C41" s="98"/>
      <c r="D41" s="98"/>
      <c r="E41" s="98"/>
      <c r="F41" s="98"/>
      <c r="G41" s="98"/>
      <c r="H41" s="98"/>
      <c r="I41" s="98"/>
      <c r="J41" s="98"/>
    </row>
  </sheetData>
  <mergeCells count="4">
    <mergeCell ref="B23:J23"/>
    <mergeCell ref="B31:H38"/>
    <mergeCell ref="B18:B19"/>
    <mergeCell ref="G7:H7"/>
  </mergeCells>
  <conditionalFormatting sqref="E2:E21">
    <cfRule type="cellIs" dxfId="9" priority="1" operator="between">
      <formula>0</formula>
      <formula>-0.9</formula>
    </cfRule>
    <cfRule type="cellIs" dxfId="8" priority="2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verticalDpi="0" r:id="rId1"/>
  <headerFooter>
    <oddHeader>&amp;C&amp;20&amp;KFF0000CUOTA MANTENIMIENTO - 2025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AJ41"/>
  <sheetViews>
    <sheetView showGridLines="0" zoomScale="80" zoomScaleNormal="80" workbookViewId="0">
      <selection activeCell="N11" sqref="N11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s="8" customFormat="1" ht="18.95" customHeight="1" x14ac:dyDescent="0.5">
      <c r="B1" s="33" t="str">
        <f>B!$B$1</f>
        <v>DICIEMBRE</v>
      </c>
      <c r="C1" s="34" t="s">
        <v>0</v>
      </c>
      <c r="D1" s="35" t="s">
        <v>19</v>
      </c>
      <c r="E1" s="36" t="s">
        <v>264</v>
      </c>
      <c r="F1" s="37"/>
      <c r="G1" s="169"/>
      <c r="H1" s="169"/>
      <c r="I1" s="169"/>
      <c r="J1" s="16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</row>
    <row r="2" spans="2:36" ht="18.95" customHeight="1" x14ac:dyDescent="0.5">
      <c r="B2" s="33" t="s">
        <v>12</v>
      </c>
      <c r="C2" s="31" t="s">
        <v>8</v>
      </c>
      <c r="D2" s="31">
        <v>101</v>
      </c>
      <c r="E2" s="176">
        <f>SUM('Cuota-Pago=Saldo'!AN106)</f>
        <v>-454.86760588504529</v>
      </c>
      <c r="F2" s="33"/>
      <c r="G2" s="169"/>
      <c r="H2" s="169"/>
      <c r="I2" s="169"/>
      <c r="J2" s="169"/>
    </row>
    <row r="3" spans="2:36" s="8" customFormat="1" ht="18.95" customHeight="1" x14ac:dyDescent="0.5">
      <c r="C3" s="31" t="s">
        <v>8</v>
      </c>
      <c r="D3" s="31">
        <v>102</v>
      </c>
      <c r="E3" s="176">
        <f>SUM('Cuota-Pago=Saldo'!AN107)</f>
        <v>0.50745813167185361</v>
      </c>
      <c r="F3" s="33"/>
      <c r="G3" s="169"/>
      <c r="H3" s="169"/>
      <c r="I3" s="169"/>
      <c r="J3" s="16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s="8" customFormat="1" ht="18.95" customHeight="1" x14ac:dyDescent="0.5">
      <c r="C4" s="31" t="s">
        <v>8</v>
      </c>
      <c r="D4" s="31">
        <v>103</v>
      </c>
      <c r="E4" s="176">
        <f>SUM('Cuota-Pago=Saldo'!AN108)</f>
        <v>-780.27289807703301</v>
      </c>
      <c r="F4" s="33"/>
      <c r="G4" s="169"/>
      <c r="H4" s="169"/>
      <c r="I4" s="169"/>
      <c r="J4" s="16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s="8" customFormat="1" ht="18.95" customHeight="1" x14ac:dyDescent="0.5">
      <c r="C5" s="31" t="s">
        <v>8</v>
      </c>
      <c r="D5" s="31">
        <v>104</v>
      </c>
      <c r="E5" s="176">
        <f>SUM('Cuota-Pago=Saldo'!AN109)</f>
        <v>-1.9929390399511249E-3</v>
      </c>
      <c r="F5" s="33"/>
      <c r="G5" s="169"/>
      <c r="H5" s="169"/>
      <c r="I5" s="169"/>
      <c r="J5" s="16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spans="2:36" s="8" customFormat="1" ht="18.95" customHeight="1" x14ac:dyDescent="0.5">
      <c r="C6" s="31" t="s">
        <v>8</v>
      </c>
      <c r="D6" s="31">
        <v>201</v>
      </c>
      <c r="E6" s="176">
        <f>SUM('Cuota-Pago=Saldo'!AN110)</f>
        <v>3.4355122864440091E-3</v>
      </c>
      <c r="F6" s="33"/>
      <c r="G6" s="169"/>
      <c r="H6" s="169"/>
      <c r="I6" s="169"/>
      <c r="J6" s="16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2:36" s="8" customFormat="1" ht="18.95" customHeight="1" x14ac:dyDescent="0.5">
      <c r="C7" s="31" t="s">
        <v>8</v>
      </c>
      <c r="D7" s="31">
        <v>202</v>
      </c>
      <c r="E7" s="176">
        <f>SUM('Cuota-Pago=Saldo'!AN111)</f>
        <v>1.6926332870070837E-3</v>
      </c>
      <c r="F7" s="33"/>
      <c r="G7" s="353" t="s">
        <v>308</v>
      </c>
      <c r="H7" s="353"/>
      <c r="I7" s="183">
        <v>5</v>
      </c>
      <c r="J7" s="16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2:36" s="8" customFormat="1" ht="18.95" customHeight="1" x14ac:dyDescent="0.5">
      <c r="C8" s="31" t="s">
        <v>8</v>
      </c>
      <c r="D8" s="31">
        <v>203</v>
      </c>
      <c r="E8" s="176">
        <f>SUM('Cuota-Pago=Saldo'!AN112)</f>
        <v>3.7554595721189798E-3</v>
      </c>
      <c r="F8" s="33"/>
      <c r="G8" s="164"/>
      <c r="H8" s="164"/>
      <c r="I8" s="183">
        <v>15</v>
      </c>
      <c r="J8" s="16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</row>
    <row r="9" spans="2:36" s="8" customFormat="1" ht="18.95" customHeight="1" x14ac:dyDescent="0.5">
      <c r="C9" s="31" t="s">
        <v>8</v>
      </c>
      <c r="D9" s="31">
        <v>204</v>
      </c>
      <c r="E9" s="176">
        <f>SUM('Cuota-Pago=Saldo'!AN113)</f>
        <v>-397.70593316347919</v>
      </c>
      <c r="F9" s="33"/>
      <c r="G9" s="164"/>
      <c r="H9" s="164"/>
      <c r="I9" s="183">
        <v>20</v>
      </c>
      <c r="J9" s="16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</row>
    <row r="10" spans="2:36" s="12" customFormat="1" ht="18.95" customHeight="1" x14ac:dyDescent="0.5">
      <c r="C10" s="31" t="s">
        <v>8</v>
      </c>
      <c r="D10" s="31">
        <v>301</v>
      </c>
      <c r="E10" s="176">
        <f>SUM('Cuota-Pago=Saldo'!AN114)</f>
        <v>9.8512030797337502E-4</v>
      </c>
      <c r="F10" s="33"/>
      <c r="G10" s="169"/>
      <c r="H10" s="169"/>
      <c r="I10" s="169"/>
      <c r="J10" s="169"/>
    </row>
    <row r="11" spans="2:36" s="12" customFormat="1" ht="18.95" customHeight="1" x14ac:dyDescent="0.35">
      <c r="C11" s="31" t="s">
        <v>8</v>
      </c>
      <c r="D11" s="31">
        <v>302</v>
      </c>
      <c r="E11" s="176">
        <f>SUM('Cuota-Pago=Saldo'!AN115)</f>
        <v>-932.96105763026105</v>
      </c>
      <c r="G11" s="169"/>
      <c r="H11" s="169"/>
      <c r="I11" s="169"/>
      <c r="J11" s="169"/>
    </row>
    <row r="12" spans="2:36" s="12" customFormat="1" ht="18.95" customHeight="1" x14ac:dyDescent="0.35">
      <c r="C12" s="31" t="s">
        <v>8</v>
      </c>
      <c r="D12" s="31">
        <v>303</v>
      </c>
      <c r="E12" s="176">
        <f>SUM('Cuota-Pago=Saldo'!AN116)</f>
        <v>2.8981696917185218E-3</v>
      </c>
      <c r="G12" s="169"/>
      <c r="H12" s="169"/>
      <c r="I12" s="169"/>
      <c r="J12" s="169"/>
    </row>
    <row r="13" spans="2:36" s="12" customFormat="1" ht="18.95" customHeight="1" x14ac:dyDescent="0.35">
      <c r="C13" s="31" t="s">
        <v>8</v>
      </c>
      <c r="D13" s="31">
        <v>304</v>
      </c>
      <c r="E13" s="176">
        <f>SUM('Cuota-Pago=Saldo'!AN117)</f>
        <v>-14.160524665613082</v>
      </c>
      <c r="G13" s="169"/>
      <c r="H13" s="169"/>
      <c r="I13" s="169"/>
      <c r="J13" s="169"/>
    </row>
    <row r="14" spans="2:36" s="12" customFormat="1" ht="18.95" customHeight="1" x14ac:dyDescent="0.35">
      <c r="C14" s="31" t="s">
        <v>8</v>
      </c>
      <c r="D14" s="31">
        <v>401</v>
      </c>
      <c r="E14" s="176">
        <f>SUM('Cuota-Pago=Saldo'!AN118)</f>
        <v>-379.7098626996534</v>
      </c>
    </row>
    <row r="15" spans="2:36" s="12" customFormat="1" ht="18.95" customHeight="1" x14ac:dyDescent="0.35">
      <c r="C15" s="31" t="s">
        <v>8</v>
      </c>
      <c r="D15" s="31">
        <v>402</v>
      </c>
      <c r="E15" s="176">
        <f>SUM('Cuota-Pago=Saldo'!AN119)</f>
        <v>-4.7645616168097149E-3</v>
      </c>
    </row>
    <row r="16" spans="2:36" s="12" customFormat="1" ht="18.95" customHeight="1" x14ac:dyDescent="0.35">
      <c r="C16" s="31" t="s">
        <v>8</v>
      </c>
      <c r="D16" s="32">
        <v>403</v>
      </c>
      <c r="E16" s="176">
        <f>SUM('Cuota-Pago=Saldo'!AN120)</f>
        <v>-991.72464897937243</v>
      </c>
    </row>
    <row r="17" spans="2:16" s="12" customFormat="1" ht="18.95" customHeight="1" x14ac:dyDescent="0.5">
      <c r="B17" s="177" t="s">
        <v>332</v>
      </c>
      <c r="C17" s="31" t="s">
        <v>8</v>
      </c>
      <c r="D17" s="31">
        <v>404</v>
      </c>
      <c r="E17" s="176">
        <f>SUM('Cuota-Pago=Saldo'!AN121)</f>
        <v>-674.06569587372951</v>
      </c>
    </row>
    <row r="18" spans="2:16" s="12" customFormat="1" ht="18.95" customHeight="1" x14ac:dyDescent="0.35">
      <c r="B18" s="352" t="s">
        <v>295</v>
      </c>
      <c r="C18" s="31" t="s">
        <v>8</v>
      </c>
      <c r="D18" s="31">
        <v>501</v>
      </c>
      <c r="E18" s="176">
        <f>SUM('Cuota-Pago=Saldo'!AN122)</f>
        <v>4.1979788393291528E-3</v>
      </c>
    </row>
    <row r="19" spans="2:16" s="12" customFormat="1" ht="18.95" customHeight="1" x14ac:dyDescent="0.35">
      <c r="B19" s="352"/>
      <c r="C19" s="31" t="s">
        <v>8</v>
      </c>
      <c r="D19" s="31">
        <v>502</v>
      </c>
      <c r="E19" s="176">
        <f>SUM('Cuota-Pago=Saldo'!AN123)</f>
        <v>-1.6757529721189712E-3</v>
      </c>
    </row>
    <row r="20" spans="2:16" s="12" customFormat="1" ht="18.95" customHeight="1" x14ac:dyDescent="0.4">
      <c r="B20" s="175">
        <f ca="1">NOW()</f>
        <v>46027.277088425923</v>
      </c>
      <c r="C20" s="31" t="s">
        <v>8</v>
      </c>
      <c r="D20" s="31">
        <v>503</v>
      </c>
      <c r="E20" s="176">
        <f>SUM('Cuota-Pago=Saldo'!AN124)</f>
        <v>-372.98585329368865</v>
      </c>
    </row>
    <row r="21" spans="2:16" s="12" customFormat="1" ht="18.95" customHeight="1" x14ac:dyDescent="0.5">
      <c r="B21" s="174">
        <f ca="1">NOW()</f>
        <v>46027.277088657407</v>
      </c>
      <c r="C21" s="31" t="s">
        <v>8</v>
      </c>
      <c r="D21" s="31">
        <v>504</v>
      </c>
      <c r="E21" s="176">
        <f>SUM('Cuota-Pago=Saldo'!AN125)</f>
        <v>-442.96498594386861</v>
      </c>
      <c r="H21" s="168" t="s">
        <v>311</v>
      </c>
    </row>
    <row r="22" spans="2:16" s="33" customFormat="1" ht="18.95" customHeight="1" x14ac:dyDescent="0.5">
      <c r="B22" s="163" t="s">
        <v>284</v>
      </c>
      <c r="C22" s="38"/>
      <c r="D22" s="38"/>
      <c r="E22" s="39"/>
    </row>
    <row r="23" spans="2:16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16" s="33" customFormat="1" ht="18.95" customHeight="1" x14ac:dyDescent="0.5">
      <c r="C24" s="38"/>
      <c r="D24" s="38"/>
      <c r="E24" s="39"/>
    </row>
    <row r="25" spans="2:16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16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16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16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16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16" ht="18" customHeight="1" x14ac:dyDescent="0.35">
      <c r="B31" s="350" t="s">
        <v>327</v>
      </c>
      <c r="C31" s="350"/>
      <c r="D31" s="350"/>
      <c r="E31" s="350"/>
      <c r="F31" s="350"/>
      <c r="G31" s="350"/>
      <c r="H31" s="350"/>
      <c r="I31" s="98"/>
      <c r="J31" s="98"/>
      <c r="K31" s="91"/>
      <c r="L31" s="91"/>
      <c r="M31" s="91"/>
      <c r="N31" s="91"/>
      <c r="O31" s="91"/>
      <c r="P31" s="91"/>
    </row>
    <row r="32" spans="2:16" ht="18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  <c r="K32" s="91"/>
      <c r="L32" s="91"/>
      <c r="M32" s="91"/>
      <c r="N32" s="91"/>
      <c r="O32" s="91"/>
      <c r="P32" s="91"/>
    </row>
    <row r="33" spans="2:16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  <c r="K33" s="91"/>
      <c r="L33" s="91"/>
      <c r="M33" s="91"/>
      <c r="N33" s="91"/>
      <c r="O33" s="91"/>
      <c r="P33" s="91"/>
    </row>
    <row r="34" spans="2:16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  <c r="K34" s="91"/>
      <c r="L34" s="91"/>
      <c r="M34" s="91"/>
      <c r="N34" s="91"/>
      <c r="O34" s="91"/>
      <c r="P34" s="91"/>
    </row>
    <row r="35" spans="2:16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  <c r="K35" s="91"/>
      <c r="L35" s="91"/>
      <c r="M35" s="91"/>
      <c r="N35" s="91"/>
      <c r="O35" s="91"/>
      <c r="P35" s="91"/>
    </row>
    <row r="36" spans="2:16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  <c r="K36" s="91"/>
      <c r="L36" s="91"/>
      <c r="M36" s="91"/>
      <c r="N36" s="91"/>
      <c r="O36" s="91"/>
      <c r="P36" s="91"/>
    </row>
    <row r="37" spans="2:16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  <c r="K37" s="91"/>
      <c r="L37" s="91"/>
      <c r="M37" s="91"/>
      <c r="N37" s="91"/>
      <c r="O37" s="91"/>
      <c r="P37" s="91"/>
    </row>
    <row r="38" spans="2:16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  <c r="K38" s="91"/>
      <c r="L38" s="91"/>
      <c r="M38" s="91"/>
      <c r="N38" s="91"/>
      <c r="O38" s="91"/>
      <c r="P38" s="91"/>
    </row>
    <row r="39" spans="2:16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  <c r="K39" s="91"/>
      <c r="L39" s="91"/>
      <c r="M39" s="91"/>
      <c r="N39" s="91"/>
      <c r="O39" s="91"/>
      <c r="P39" s="91"/>
    </row>
    <row r="40" spans="2:16" ht="14.25" customHeight="1" x14ac:dyDescent="0.35">
      <c r="B40" s="98"/>
      <c r="C40" s="98"/>
      <c r="D40" s="98"/>
      <c r="E40" s="98"/>
      <c r="F40" s="98"/>
      <c r="G40" s="98"/>
      <c r="H40" s="98"/>
      <c r="I40" s="98"/>
      <c r="J40" s="98"/>
    </row>
    <row r="41" spans="2:16" ht="14.25" customHeight="1" x14ac:dyDescent="0.35">
      <c r="B41" s="98"/>
      <c r="C41" s="98"/>
      <c r="D41" s="98"/>
      <c r="E41" s="98"/>
      <c r="F41" s="98"/>
      <c r="G41" s="98"/>
      <c r="H41" s="98"/>
      <c r="I41" s="98"/>
      <c r="J41" s="98"/>
    </row>
  </sheetData>
  <mergeCells count="4">
    <mergeCell ref="B23:J23"/>
    <mergeCell ref="B31:H38"/>
    <mergeCell ref="B18:B19"/>
    <mergeCell ref="G7:H7"/>
  </mergeCells>
  <conditionalFormatting sqref="E2:E21">
    <cfRule type="cellIs" dxfId="7" priority="1" operator="between">
      <formula>0</formula>
      <formula>-0.9</formula>
    </cfRule>
    <cfRule type="cellIs" dxfId="6" priority="2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r:id="rId1"/>
  <headerFooter scaleWithDoc="0">
    <oddHeader>&amp;C&amp;20&amp;KFF0000CUOTA MANTENIMIENTO - 2025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J41"/>
  <sheetViews>
    <sheetView showGridLines="0" zoomScale="80" zoomScaleNormal="80" workbookViewId="0">
      <selection activeCell="B20" sqref="B20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ht="18.95" customHeight="1" x14ac:dyDescent="0.5">
      <c r="B1" s="33" t="str">
        <f>B!$B$1</f>
        <v>DICIEMBRE</v>
      </c>
      <c r="C1" s="34" t="s">
        <v>0</v>
      </c>
      <c r="D1" s="35" t="s">
        <v>19</v>
      </c>
      <c r="E1" s="36" t="s">
        <v>264</v>
      </c>
      <c r="F1" s="37"/>
      <c r="G1" s="169"/>
      <c r="H1" s="169"/>
      <c r="I1" s="169"/>
      <c r="J1" s="169"/>
    </row>
    <row r="2" spans="2:36" ht="18.95" customHeight="1" x14ac:dyDescent="0.5">
      <c r="B2" s="33" t="s">
        <v>12</v>
      </c>
      <c r="C2" s="31" t="s">
        <v>9</v>
      </c>
      <c r="D2" s="31">
        <v>101</v>
      </c>
      <c r="E2" s="176">
        <f>SUM('Cuota-Pago=Saldo'!AN126)</f>
        <v>-4.9589832648848642E-3</v>
      </c>
      <c r="F2" s="33"/>
      <c r="G2" s="169"/>
      <c r="H2" s="169"/>
      <c r="I2" s="169"/>
      <c r="J2" s="169"/>
    </row>
    <row r="3" spans="2:36" s="8" customFormat="1" ht="18.95" customHeight="1" x14ac:dyDescent="0.5">
      <c r="C3" s="31" t="s">
        <v>9</v>
      </c>
      <c r="D3" s="31">
        <v>102</v>
      </c>
      <c r="E3" s="176">
        <f>SUM('Cuota-Pago=Saldo'!AN127)</f>
        <v>-329.4316134817222</v>
      </c>
      <c r="F3" s="33"/>
      <c r="G3" s="169"/>
      <c r="H3" s="169"/>
      <c r="I3" s="169"/>
      <c r="J3" s="16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s="8" customFormat="1" ht="18.95" customHeight="1" x14ac:dyDescent="0.5">
      <c r="C4" s="31" t="s">
        <v>9</v>
      </c>
      <c r="D4" s="31">
        <v>103</v>
      </c>
      <c r="E4" s="176">
        <f>SUM('Cuota-Pago=Saldo'!AN128)</f>
        <v>-349.6076034805742</v>
      </c>
      <c r="F4" s="33"/>
      <c r="G4" s="169"/>
      <c r="H4" s="169"/>
      <c r="I4" s="169"/>
      <c r="J4" s="16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s="8" customFormat="1" ht="18.95" customHeight="1" x14ac:dyDescent="0.5">
      <c r="C5" s="31" t="s">
        <v>9</v>
      </c>
      <c r="D5" s="31">
        <v>104</v>
      </c>
      <c r="E5" s="176">
        <f>SUM('Cuota-Pago=Saldo'!AN129)</f>
        <v>-393.16699251464331</v>
      </c>
      <c r="F5" s="33"/>
      <c r="G5" s="169"/>
      <c r="H5" s="169"/>
      <c r="I5" s="169"/>
      <c r="J5" s="16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spans="2:36" s="8" customFormat="1" ht="18.95" customHeight="1" x14ac:dyDescent="0.5">
      <c r="C6" s="31" t="s">
        <v>9</v>
      </c>
      <c r="D6" s="31">
        <v>201</v>
      </c>
      <c r="E6" s="176">
        <f>SUM('Cuota-Pago=Saldo'!AN130)</f>
        <v>0.62850742993674658</v>
      </c>
      <c r="F6" s="33"/>
      <c r="G6" s="169"/>
      <c r="H6" s="169"/>
      <c r="I6" s="169"/>
      <c r="J6" s="16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2:36" s="8" customFormat="1" ht="18.95" customHeight="1" x14ac:dyDescent="0.5">
      <c r="C7" s="31" t="s">
        <v>9</v>
      </c>
      <c r="D7" s="31">
        <v>202</v>
      </c>
      <c r="E7" s="176">
        <f>SUM('Cuota-Pago=Saldo'!AN131)</f>
        <v>1.1615010835157591E-3</v>
      </c>
      <c r="F7" s="33"/>
      <c r="G7" s="353" t="s">
        <v>308</v>
      </c>
      <c r="H7" s="353"/>
      <c r="I7" s="183">
        <v>5</v>
      </c>
      <c r="J7" s="16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2:36" s="8" customFormat="1" ht="18.95" customHeight="1" x14ac:dyDescent="0.5">
      <c r="C8" s="31" t="s">
        <v>9</v>
      </c>
      <c r="D8" s="31">
        <v>203</v>
      </c>
      <c r="E8" s="176">
        <f>SUM('Cuota-Pago=Saldo'!AN132)</f>
        <v>-796.4111105860959</v>
      </c>
      <c r="F8" s="33"/>
      <c r="G8" s="164"/>
      <c r="H8" s="164"/>
      <c r="I8" s="183">
        <v>15</v>
      </c>
      <c r="J8" s="16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</row>
    <row r="9" spans="2:36" s="8" customFormat="1" ht="18.95" customHeight="1" x14ac:dyDescent="0.5">
      <c r="C9" s="31" t="s">
        <v>9</v>
      </c>
      <c r="D9" s="31">
        <v>204</v>
      </c>
      <c r="E9" s="176">
        <f>SUM('Cuota-Pago=Saldo'!AN133)</f>
        <v>-2.0663792168988948E-3</v>
      </c>
      <c r="F9" s="33"/>
      <c r="G9" s="164"/>
      <c r="H9" s="164"/>
      <c r="I9" s="183">
        <v>20</v>
      </c>
      <c r="J9" s="16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</row>
    <row r="10" spans="2:36" s="8" customFormat="1" ht="18.95" customHeight="1" x14ac:dyDescent="0.5">
      <c r="C10" s="31" t="s">
        <v>9</v>
      </c>
      <c r="D10" s="31">
        <v>301</v>
      </c>
      <c r="E10" s="176">
        <f>SUM('Cuota-Pago=Saldo'!AN134)</f>
        <v>-512.44717965316897</v>
      </c>
      <c r="F10" s="33"/>
      <c r="G10" s="169"/>
      <c r="H10" s="169"/>
      <c r="I10" s="169"/>
      <c r="J10" s="16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</row>
    <row r="11" spans="2:36" s="8" customFormat="1" ht="18.95" customHeight="1" x14ac:dyDescent="0.4">
      <c r="C11" s="31" t="s">
        <v>9</v>
      </c>
      <c r="D11" s="31">
        <v>302</v>
      </c>
      <c r="E11" s="176">
        <f>SUM('Cuota-Pago=Saldo'!AN135)</f>
        <v>-8.088662436875893E-4</v>
      </c>
      <c r="G11" s="169"/>
      <c r="H11" s="169"/>
      <c r="I11" s="169"/>
      <c r="J11" s="16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</row>
    <row r="12" spans="2:36" s="8" customFormat="1" ht="18.95" customHeight="1" x14ac:dyDescent="0.4">
      <c r="C12" s="31" t="s">
        <v>9</v>
      </c>
      <c r="D12" s="31">
        <v>303</v>
      </c>
      <c r="E12" s="176">
        <f>SUM('Cuota-Pago=Saldo'!AN136)</f>
        <v>-364.73297661028312</v>
      </c>
      <c r="G12" s="169"/>
      <c r="H12" s="169"/>
      <c r="I12" s="169"/>
      <c r="J12" s="16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</row>
    <row r="13" spans="2:36" s="8" customFormat="1" ht="18.95" customHeight="1" x14ac:dyDescent="0.4">
      <c r="C13" s="31" t="s">
        <v>9</v>
      </c>
      <c r="D13" s="31">
        <v>304</v>
      </c>
      <c r="E13" s="176">
        <f>SUM('Cuota-Pago=Saldo'!AN137)</f>
        <v>2.6438044656629245E-3</v>
      </c>
      <c r="G13" s="169"/>
      <c r="H13" s="169"/>
      <c r="I13" s="169"/>
      <c r="J13" s="16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</row>
    <row r="14" spans="2:36" s="8" customFormat="1" ht="18.95" customHeight="1" x14ac:dyDescent="0.4">
      <c r="C14" s="31" t="s">
        <v>9</v>
      </c>
      <c r="D14" s="31">
        <v>401</v>
      </c>
      <c r="E14" s="176">
        <f>SUM('Cuota-Pago=Saldo'!AN138)</f>
        <v>0.43294254090676532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</row>
    <row r="15" spans="2:36" s="8" customFormat="1" ht="18.95" customHeight="1" x14ac:dyDescent="0.4">
      <c r="C15" s="31" t="s">
        <v>9</v>
      </c>
      <c r="D15" s="31">
        <v>402</v>
      </c>
      <c r="E15" s="176">
        <f>SUM('Cuota-Pago=Saldo'!AN139)</f>
        <v>-3.1321341172088069E-3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</row>
    <row r="16" spans="2:36" ht="18.95" customHeight="1" x14ac:dyDescent="0.35">
      <c r="C16" s="31" t="s">
        <v>9</v>
      </c>
      <c r="D16" s="32">
        <v>403</v>
      </c>
      <c r="E16" s="176">
        <f>SUM('Cuota-Pago=Saldo'!AN140)</f>
        <v>-405.19807947341423</v>
      </c>
    </row>
    <row r="17" spans="2:36" s="8" customFormat="1" ht="18.95" customHeight="1" x14ac:dyDescent="0.5">
      <c r="B17" s="177" t="s">
        <v>332</v>
      </c>
      <c r="C17" s="31" t="s">
        <v>9</v>
      </c>
      <c r="D17" s="31">
        <v>404</v>
      </c>
      <c r="E17" s="176">
        <f>SUM('Cuota-Pago=Saldo'!AN141)</f>
        <v>-6.1138738641375312E-4</v>
      </c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</row>
    <row r="18" spans="2:36" s="8" customFormat="1" ht="18.95" customHeight="1" x14ac:dyDescent="0.4">
      <c r="B18" s="352" t="s">
        <v>295</v>
      </c>
      <c r="C18" s="31" t="s">
        <v>9</v>
      </c>
      <c r="D18" s="31">
        <v>501</v>
      </c>
      <c r="E18" s="176">
        <f>SUM('Cuota-Pago=Saldo'!AN142)</f>
        <v>-7.5175339389943474E-4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</row>
    <row r="19" spans="2:36" s="8" customFormat="1" ht="18.95" customHeight="1" x14ac:dyDescent="0.4">
      <c r="B19" s="352"/>
      <c r="C19" s="31" t="s">
        <v>9</v>
      </c>
      <c r="D19" s="31">
        <v>502</v>
      </c>
      <c r="E19" s="176">
        <f>SUM('Cuota-Pago=Saldo'!AN143)</f>
        <v>-347.31457086933568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</row>
    <row r="20" spans="2:36" s="8" customFormat="1" ht="18.95" customHeight="1" x14ac:dyDescent="0.4">
      <c r="B20" s="175">
        <f ca="1">NOW()</f>
        <v>46027.277088425923</v>
      </c>
      <c r="C20" s="31" t="s">
        <v>9</v>
      </c>
      <c r="D20" s="31">
        <v>503</v>
      </c>
      <c r="E20" s="176">
        <f>SUM('Cuota-Pago=Saldo'!AN144)</f>
        <v>-369.32642530081944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</row>
    <row r="21" spans="2:36" s="8" customFormat="1" ht="18.95" customHeight="1" x14ac:dyDescent="0.5">
      <c r="B21" s="174">
        <f ca="1">NOW()</f>
        <v>46027.277088657407</v>
      </c>
      <c r="C21" s="31" t="s">
        <v>9</v>
      </c>
      <c r="D21" s="31">
        <v>504</v>
      </c>
      <c r="E21" s="176">
        <f>SUM('Cuota-Pago=Saldo'!AN145)</f>
        <v>-350.05378506512051</v>
      </c>
      <c r="H21" s="33" t="s">
        <v>311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2:36" s="33" customFormat="1" ht="18.95" customHeight="1" x14ac:dyDescent="0.5">
      <c r="B22" s="163" t="s">
        <v>284</v>
      </c>
      <c r="C22" s="38"/>
      <c r="D22" s="38"/>
      <c r="E22" s="38"/>
    </row>
    <row r="23" spans="2:36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36" s="33" customFormat="1" ht="18.95" customHeight="1" x14ac:dyDescent="0.5">
      <c r="C24" s="38"/>
      <c r="D24" s="38"/>
      <c r="E24" s="39"/>
    </row>
    <row r="25" spans="2:36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36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36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36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36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36" ht="18" customHeight="1" x14ac:dyDescent="0.35">
      <c r="B31" s="350" t="s">
        <v>327</v>
      </c>
      <c r="C31" s="350"/>
      <c r="D31" s="350"/>
      <c r="E31" s="350"/>
      <c r="F31" s="350"/>
      <c r="G31" s="350"/>
      <c r="H31" s="350"/>
      <c r="I31" s="98"/>
      <c r="J31" s="98"/>
      <c r="K31" s="91"/>
      <c r="L31" s="91"/>
      <c r="M31" s="91"/>
      <c r="N31" s="91"/>
      <c r="O31" s="91"/>
      <c r="P31" s="91"/>
    </row>
    <row r="32" spans="2:36" ht="18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  <c r="K32" s="91"/>
      <c r="L32" s="91"/>
      <c r="M32" s="91"/>
      <c r="N32" s="91"/>
      <c r="O32" s="91"/>
      <c r="P32" s="91"/>
    </row>
    <row r="33" spans="2:16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  <c r="K33" s="91"/>
      <c r="L33" s="91"/>
      <c r="M33" s="91"/>
      <c r="N33" s="91"/>
      <c r="O33" s="91"/>
      <c r="P33" s="91"/>
    </row>
    <row r="34" spans="2:16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  <c r="K34" s="91"/>
      <c r="L34" s="91"/>
      <c r="M34" s="91"/>
      <c r="N34" s="91"/>
      <c r="O34" s="91"/>
      <c r="P34" s="91"/>
    </row>
    <row r="35" spans="2:16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  <c r="K35" s="91"/>
      <c r="L35" s="91"/>
      <c r="M35" s="91"/>
      <c r="N35" s="91"/>
      <c r="O35" s="91"/>
      <c r="P35" s="91"/>
    </row>
    <row r="36" spans="2:16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  <c r="K36" s="91"/>
      <c r="L36" s="91"/>
      <c r="M36" s="91"/>
      <c r="N36" s="91"/>
      <c r="O36" s="91"/>
      <c r="P36" s="91"/>
    </row>
    <row r="37" spans="2:16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  <c r="K37" s="91"/>
      <c r="L37" s="91"/>
      <c r="M37" s="91"/>
      <c r="N37" s="91"/>
      <c r="O37" s="91"/>
      <c r="P37" s="91"/>
    </row>
    <row r="38" spans="2:16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  <c r="K38" s="91"/>
      <c r="L38" s="91"/>
      <c r="M38" s="91"/>
      <c r="N38" s="91"/>
      <c r="O38" s="91"/>
      <c r="P38" s="91"/>
    </row>
    <row r="39" spans="2:16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  <c r="K39" s="91"/>
      <c r="L39" s="91"/>
      <c r="M39" s="91"/>
      <c r="N39" s="91"/>
      <c r="O39" s="91"/>
      <c r="P39" s="91"/>
    </row>
    <row r="40" spans="2:16" ht="14.25" customHeight="1" x14ac:dyDescent="0.35">
      <c r="B40" s="98"/>
      <c r="C40" s="98"/>
      <c r="D40" s="98"/>
      <c r="E40" s="98"/>
      <c r="F40" s="98"/>
      <c r="G40" s="98"/>
      <c r="H40" s="98"/>
      <c r="I40" s="98"/>
      <c r="J40" s="98"/>
    </row>
    <row r="41" spans="2:16" ht="14.25" customHeight="1" x14ac:dyDescent="0.35">
      <c r="B41" s="98"/>
      <c r="C41" s="98"/>
      <c r="D41" s="98"/>
      <c r="E41" s="98"/>
      <c r="F41" s="98"/>
      <c r="G41" s="98"/>
      <c r="H41" s="98"/>
      <c r="I41" s="98"/>
      <c r="J41" s="98"/>
    </row>
  </sheetData>
  <mergeCells count="4">
    <mergeCell ref="B23:J23"/>
    <mergeCell ref="B31:H38"/>
    <mergeCell ref="B18:B19"/>
    <mergeCell ref="G7:H7"/>
  </mergeCells>
  <conditionalFormatting sqref="E2:E21">
    <cfRule type="cellIs" dxfId="5" priority="1" operator="between">
      <formula>0</formula>
      <formula>-0.9</formula>
    </cfRule>
    <cfRule type="cellIs" dxfId="4" priority="2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r:id="rId1"/>
  <headerFooter>
    <oddHeader>&amp;C&amp;20&amp;KFF0000CUOTA MANTENIMIENTO - 2025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AJ41"/>
  <sheetViews>
    <sheetView showGridLines="0" zoomScale="80" zoomScaleNormal="80" workbookViewId="0">
      <selection activeCell="F10" sqref="F10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36" s="8" customFormat="1" ht="18.95" customHeight="1" x14ac:dyDescent="0.5">
      <c r="B1" s="33" t="str">
        <f>B!$B$1</f>
        <v>DICIEMBRE</v>
      </c>
      <c r="C1" s="34" t="s">
        <v>0</v>
      </c>
      <c r="D1" s="35" t="s">
        <v>19</v>
      </c>
      <c r="E1" s="36" t="s">
        <v>264</v>
      </c>
      <c r="F1" s="37"/>
      <c r="G1" s="169"/>
      <c r="H1" s="169"/>
      <c r="I1" s="169"/>
      <c r="J1" s="16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</row>
    <row r="2" spans="2:36" ht="18.95" customHeight="1" x14ac:dyDescent="0.5">
      <c r="B2" s="33" t="s">
        <v>12</v>
      </c>
      <c r="C2" s="31" t="s">
        <v>10</v>
      </c>
      <c r="D2" s="31">
        <v>101</v>
      </c>
      <c r="E2" s="176">
        <f>SUM('Cuota-Pago=Saldo'!AN146)</f>
        <v>-411.12482264827702</v>
      </c>
      <c r="F2" s="33"/>
      <c r="G2" s="169"/>
      <c r="H2" s="169"/>
      <c r="I2" s="169"/>
      <c r="J2" s="169"/>
    </row>
    <row r="3" spans="2:36" s="8" customFormat="1" ht="18.95" customHeight="1" x14ac:dyDescent="0.5">
      <c r="C3" s="31" t="s">
        <v>10</v>
      </c>
      <c r="D3" s="31">
        <v>102</v>
      </c>
      <c r="E3" s="176">
        <f>SUM('Cuota-Pago=Saldo'!AN147)</f>
        <v>-1.7466860862214162E-3</v>
      </c>
      <c r="F3" s="33"/>
      <c r="G3" s="169"/>
      <c r="H3" s="169"/>
      <c r="I3" s="169"/>
      <c r="J3" s="16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</row>
    <row r="4" spans="2:36" s="8" customFormat="1" ht="18.95" customHeight="1" x14ac:dyDescent="0.5">
      <c r="C4" s="31" t="s">
        <v>10</v>
      </c>
      <c r="D4" s="31">
        <v>103</v>
      </c>
      <c r="E4" s="176">
        <f>SUM('Cuota-Pago=Saldo'!AN148)</f>
        <v>2.0862402555508197E-3</v>
      </c>
      <c r="F4" s="33"/>
      <c r="G4" s="169"/>
      <c r="H4" s="169"/>
      <c r="I4" s="169"/>
      <c r="J4" s="16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</row>
    <row r="5" spans="2:36" s="8" customFormat="1" ht="18.95" customHeight="1" x14ac:dyDescent="0.5">
      <c r="C5" s="31" t="s">
        <v>10</v>
      </c>
      <c r="D5" s="31">
        <v>104</v>
      </c>
      <c r="E5" s="176">
        <f>SUM('Cuota-Pago=Saldo'!AN149)</f>
        <v>-401.36425650250442</v>
      </c>
      <c r="F5" s="33"/>
      <c r="G5" s="169"/>
      <c r="H5" s="169"/>
      <c r="I5" s="169"/>
      <c r="J5" s="16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spans="2:36" s="8" customFormat="1" ht="18.95" customHeight="1" x14ac:dyDescent="0.5">
      <c r="C6" s="31" t="s">
        <v>10</v>
      </c>
      <c r="D6" s="31">
        <v>201</v>
      </c>
      <c r="E6" s="176">
        <f>SUM('Cuota-Pago=Saldo'!AN150)</f>
        <v>1.1357987981455153E-3</v>
      </c>
      <c r="F6" s="33"/>
      <c r="G6" s="169"/>
      <c r="H6" s="169"/>
      <c r="I6" s="169"/>
      <c r="J6" s="16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spans="2:36" s="8" customFormat="1" ht="18.95" customHeight="1" x14ac:dyDescent="0.5">
      <c r="C7" s="31" t="s">
        <v>10</v>
      </c>
      <c r="D7" s="31">
        <v>202</v>
      </c>
      <c r="E7" s="176">
        <f>SUM('Cuota-Pago=Saldo'!AN151)</f>
        <v>-2287.1286503815813</v>
      </c>
      <c r="F7" s="33"/>
      <c r="G7" s="353" t="s">
        <v>308</v>
      </c>
      <c r="H7" s="353"/>
      <c r="I7" s="183">
        <v>5</v>
      </c>
      <c r="J7" s="16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spans="2:36" s="8" customFormat="1" ht="18.95" customHeight="1" x14ac:dyDescent="0.5">
      <c r="C8" s="31" t="s">
        <v>10</v>
      </c>
      <c r="D8" s="31">
        <v>203</v>
      </c>
      <c r="E8" s="176">
        <f>SUM('Cuota-Pago=Saldo'!AN152)</f>
        <v>-3.7506736804289176E-3</v>
      </c>
      <c r="F8" s="33"/>
      <c r="G8" s="164"/>
      <c r="H8" s="164"/>
      <c r="I8" s="183">
        <v>15</v>
      </c>
      <c r="J8" s="16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</row>
    <row r="9" spans="2:36" s="8" customFormat="1" ht="18.95" customHeight="1" x14ac:dyDescent="0.5">
      <c r="C9" s="31" t="s">
        <v>10</v>
      </c>
      <c r="D9" s="31">
        <v>204</v>
      </c>
      <c r="E9" s="176">
        <f>SUM('Cuota-Pago=Saldo'!AN153)</f>
        <v>-8.3002162057255191E-4</v>
      </c>
      <c r="F9" s="33"/>
      <c r="G9" s="164"/>
      <c r="H9" s="164"/>
      <c r="I9" s="183">
        <v>20</v>
      </c>
      <c r="J9" s="16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</row>
    <row r="10" spans="2:36" s="8" customFormat="1" ht="18.95" customHeight="1" x14ac:dyDescent="0.5">
      <c r="C10" s="31" t="s">
        <v>10</v>
      </c>
      <c r="D10" s="31">
        <v>301</v>
      </c>
      <c r="E10" s="176">
        <f>SUM('Cuota-Pago=Saldo'!AN154)</f>
        <v>-7.1988059465866172E-4</v>
      </c>
      <c r="F10" s="33"/>
      <c r="G10" s="169"/>
      <c r="H10" s="169"/>
      <c r="I10" s="169"/>
      <c r="J10" s="16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</row>
    <row r="11" spans="2:36" s="8" customFormat="1" ht="18.95" customHeight="1" x14ac:dyDescent="0.4">
      <c r="C11" s="31" t="s">
        <v>10</v>
      </c>
      <c r="D11" s="31">
        <v>302</v>
      </c>
      <c r="E11" s="176">
        <f>SUM('Cuota-Pago=Saldo'!AN155)</f>
        <v>-490.20830304104004</v>
      </c>
      <c r="G11" s="169"/>
      <c r="H11" s="169"/>
      <c r="I11" s="169"/>
      <c r="J11" s="16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</row>
    <row r="12" spans="2:36" ht="18.95" customHeight="1" x14ac:dyDescent="0.35">
      <c r="C12" s="31" t="s">
        <v>10</v>
      </c>
      <c r="D12" s="31">
        <v>303</v>
      </c>
      <c r="E12" s="176">
        <f>SUM('Cuota-Pago=Saldo'!AN156)</f>
        <v>-362.47446212718359</v>
      </c>
      <c r="G12" s="169"/>
      <c r="H12" s="169"/>
      <c r="I12" s="169"/>
      <c r="J12" s="169"/>
    </row>
    <row r="13" spans="2:36" ht="18.95" customHeight="1" x14ac:dyDescent="0.35">
      <c r="C13" s="31" t="s">
        <v>10</v>
      </c>
      <c r="D13" s="31">
        <v>304</v>
      </c>
      <c r="E13" s="176">
        <f>SUM('Cuota-Pago=Saldo'!AN157)</f>
        <v>1.5259444454045479E-3</v>
      </c>
      <c r="G13" s="169"/>
      <c r="H13" s="169"/>
      <c r="I13" s="169"/>
      <c r="J13" s="169"/>
    </row>
    <row r="14" spans="2:36" ht="18.95" customHeight="1" x14ac:dyDescent="0.35">
      <c r="C14" s="31" t="s">
        <v>10</v>
      </c>
      <c r="D14" s="31">
        <v>401</v>
      </c>
      <c r="E14" s="176">
        <f>SUM('Cuota-Pago=Saldo'!AN158)</f>
        <v>1.3853341120011464E-3</v>
      </c>
    </row>
    <row r="15" spans="2:36" ht="18.95" customHeight="1" x14ac:dyDescent="0.35">
      <c r="C15" s="31" t="s">
        <v>10</v>
      </c>
      <c r="D15" s="31">
        <v>402</v>
      </c>
      <c r="E15" s="176">
        <f>SUM('Cuota-Pago=Saldo'!AN159)</f>
        <v>8.0587449303948233E-4</v>
      </c>
    </row>
    <row r="16" spans="2:36" ht="18.95" customHeight="1" x14ac:dyDescent="0.35">
      <c r="C16" s="31" t="s">
        <v>10</v>
      </c>
      <c r="D16" s="32">
        <v>403</v>
      </c>
      <c r="E16" s="176">
        <f>SUM('Cuota-Pago=Saldo'!AN160)</f>
        <v>-410.66940114814702</v>
      </c>
    </row>
    <row r="17" spans="2:16" ht="18.95" customHeight="1" x14ac:dyDescent="0.5">
      <c r="B17" s="177" t="s">
        <v>332</v>
      </c>
      <c r="C17" s="31" t="s">
        <v>10</v>
      </c>
      <c r="D17" s="31">
        <v>404</v>
      </c>
      <c r="E17" s="176">
        <f>SUM('Cuota-Pago=Saldo'!AN161)</f>
        <v>-492.08944657813606</v>
      </c>
    </row>
    <row r="18" spans="2:16" ht="18.95" customHeight="1" x14ac:dyDescent="0.35">
      <c r="B18" s="352" t="s">
        <v>295</v>
      </c>
      <c r="C18" s="31" t="s">
        <v>10</v>
      </c>
      <c r="D18" s="31">
        <v>501</v>
      </c>
      <c r="E18" s="176">
        <f>SUM('Cuota-Pago=Saldo'!AN162)</f>
        <v>-765.12769338565352</v>
      </c>
    </row>
    <row r="19" spans="2:16" ht="18.95" customHeight="1" x14ac:dyDescent="0.35">
      <c r="B19" s="352"/>
      <c r="C19" s="31" t="s">
        <v>10</v>
      </c>
      <c r="D19" s="31">
        <v>502</v>
      </c>
      <c r="E19" s="176">
        <f>SUM('Cuota-Pago=Saldo'!AN163)</f>
        <v>301.68309513653139</v>
      </c>
    </row>
    <row r="20" spans="2:16" ht="18.95" customHeight="1" x14ac:dyDescent="0.4">
      <c r="B20" s="175">
        <f ca="1">NOW()</f>
        <v>46027.277088657407</v>
      </c>
      <c r="C20" s="31" t="s">
        <v>10</v>
      </c>
      <c r="D20" s="31">
        <v>503</v>
      </c>
      <c r="E20" s="176">
        <f>SUM('Cuota-Pago=Saldo'!AN164)</f>
        <v>-390.8321196095402</v>
      </c>
    </row>
    <row r="21" spans="2:16" ht="18.95" customHeight="1" x14ac:dyDescent="0.5">
      <c r="B21" s="174">
        <f ca="1">NOW()</f>
        <v>46027.277088657407</v>
      </c>
      <c r="C21" s="31" t="s">
        <v>10</v>
      </c>
      <c r="D21" s="31">
        <v>504</v>
      </c>
      <c r="E21" s="176">
        <f>SUM('Cuota-Pago=Saldo'!AN165)</f>
        <v>-261.23595641856463</v>
      </c>
      <c r="H21" s="168" t="s">
        <v>312</v>
      </c>
    </row>
    <row r="22" spans="2:16" s="33" customFormat="1" ht="18.95" customHeight="1" x14ac:dyDescent="0.5">
      <c r="B22" s="163" t="s">
        <v>284</v>
      </c>
      <c r="C22" s="38"/>
      <c r="D22" s="38"/>
      <c r="E22" s="39"/>
    </row>
    <row r="23" spans="2:16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16" s="33" customFormat="1" ht="18.95" customHeight="1" x14ac:dyDescent="0.5">
      <c r="C24" s="38"/>
      <c r="D24" s="38"/>
      <c r="E24" s="39"/>
    </row>
    <row r="25" spans="2:16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16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16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16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16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16" ht="18" customHeight="1" x14ac:dyDescent="0.35">
      <c r="B31" s="350" t="s">
        <v>328</v>
      </c>
      <c r="C31" s="350"/>
      <c r="D31" s="350"/>
      <c r="E31" s="350"/>
      <c r="F31" s="350"/>
      <c r="G31" s="350"/>
      <c r="H31" s="350"/>
      <c r="I31" s="98"/>
      <c r="J31" s="98"/>
      <c r="K31" s="91"/>
      <c r="L31" s="91"/>
      <c r="M31" s="91"/>
      <c r="N31" s="91"/>
      <c r="O31" s="91"/>
      <c r="P31" s="91"/>
    </row>
    <row r="32" spans="2:16" ht="18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  <c r="K32" s="91"/>
      <c r="L32" s="91"/>
      <c r="M32" s="91"/>
      <c r="N32" s="91"/>
      <c r="O32" s="91"/>
      <c r="P32" s="91"/>
    </row>
    <row r="33" spans="2:16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  <c r="K33" s="91"/>
      <c r="L33" s="91"/>
      <c r="M33" s="91"/>
      <c r="N33" s="91"/>
      <c r="O33" s="91"/>
      <c r="P33" s="91"/>
    </row>
    <row r="34" spans="2:16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  <c r="K34" s="91"/>
      <c r="L34" s="91"/>
      <c r="M34" s="91"/>
      <c r="N34" s="91"/>
      <c r="O34" s="91"/>
      <c r="P34" s="91"/>
    </row>
    <row r="35" spans="2:16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  <c r="K35" s="91"/>
      <c r="L35" s="91"/>
      <c r="M35" s="91"/>
      <c r="N35" s="91"/>
      <c r="O35" s="91"/>
      <c r="P35" s="91"/>
    </row>
    <row r="36" spans="2:16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  <c r="K36" s="91"/>
      <c r="L36" s="91"/>
      <c r="M36" s="91"/>
      <c r="N36" s="91"/>
      <c r="O36" s="91"/>
      <c r="P36" s="91"/>
    </row>
    <row r="37" spans="2:16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  <c r="K37" s="91"/>
      <c r="L37" s="91"/>
      <c r="M37" s="91"/>
      <c r="N37" s="91"/>
      <c r="O37" s="91"/>
      <c r="P37" s="91"/>
    </row>
    <row r="38" spans="2:16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  <c r="K38" s="91"/>
      <c r="L38" s="91"/>
      <c r="M38" s="91"/>
      <c r="N38" s="91"/>
      <c r="O38" s="91"/>
      <c r="P38" s="91"/>
    </row>
    <row r="39" spans="2:16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  <c r="K39" s="91"/>
      <c r="L39" s="91"/>
      <c r="M39" s="91"/>
      <c r="N39" s="91"/>
      <c r="O39" s="91"/>
      <c r="P39" s="91"/>
    </row>
    <row r="40" spans="2:16" ht="14.25" customHeight="1" x14ac:dyDescent="0.35">
      <c r="B40" s="98"/>
      <c r="C40" s="98"/>
      <c r="D40" s="98"/>
      <c r="E40" s="98"/>
      <c r="F40" s="98"/>
      <c r="G40" s="98"/>
      <c r="H40" s="98"/>
      <c r="I40" s="98"/>
      <c r="J40" s="98"/>
    </row>
    <row r="41" spans="2:16" ht="14.25" customHeight="1" x14ac:dyDescent="0.35">
      <c r="B41" s="98"/>
      <c r="C41" s="98"/>
      <c r="D41" s="98"/>
      <c r="E41" s="98"/>
      <c r="F41" s="98"/>
      <c r="G41" s="98"/>
      <c r="H41" s="98"/>
      <c r="I41" s="98"/>
      <c r="J41" s="98"/>
    </row>
  </sheetData>
  <mergeCells count="4">
    <mergeCell ref="B23:J23"/>
    <mergeCell ref="B31:H38"/>
    <mergeCell ref="B18:B19"/>
    <mergeCell ref="G7:H7"/>
  </mergeCells>
  <conditionalFormatting sqref="E2:E21">
    <cfRule type="cellIs" dxfId="3" priority="1" operator="between">
      <formula>0</formula>
      <formula>-0.9</formula>
    </cfRule>
    <cfRule type="cellIs" dxfId="2" priority="2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verticalDpi="360" r:id="rId1"/>
  <headerFooter>
    <oddHeader>&amp;C&amp;20&amp;KFF0000CUOTA MANTENIMIENTO - 2025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P41"/>
  <sheetViews>
    <sheetView showGridLines="0" zoomScale="80" zoomScaleNormal="80" workbookViewId="0">
      <selection activeCell="B20" sqref="B20"/>
    </sheetView>
  </sheetViews>
  <sheetFormatPr baseColWidth="10" defaultColWidth="11.3984375" defaultRowHeight="13.9" x14ac:dyDescent="0.4"/>
  <cols>
    <col min="1" max="1" width="2.73046875" style="9" customWidth="1"/>
    <col min="2" max="2" width="23.265625" style="9" customWidth="1"/>
    <col min="3" max="3" width="12.73046875" style="8" customWidth="1"/>
    <col min="4" max="4" width="12.73046875" style="9" customWidth="1"/>
    <col min="5" max="5" width="12.73046875" style="10" customWidth="1"/>
    <col min="6" max="7" width="6.73046875" style="9" customWidth="1"/>
    <col min="8" max="8" width="10.265625" style="9" customWidth="1"/>
    <col min="9" max="9" width="2.59765625" style="9" bestFit="1" customWidth="1"/>
    <col min="10" max="11" width="6.73046875" style="9" customWidth="1"/>
    <col min="12" max="12" width="10.265625" style="9" customWidth="1"/>
    <col min="13" max="13" width="2.265625" style="9" customWidth="1"/>
    <col min="14" max="15" width="6.73046875" style="9" customWidth="1"/>
    <col min="16" max="16" width="10.265625" style="9" customWidth="1"/>
    <col min="17" max="17" width="2.265625" style="9" customWidth="1"/>
    <col min="18" max="19" width="6.73046875" style="9" customWidth="1"/>
    <col min="20" max="20" width="10.265625" style="9" customWidth="1"/>
    <col min="21" max="21" width="2.265625" style="9" customWidth="1"/>
    <col min="22" max="23" width="6.73046875" style="9" customWidth="1"/>
    <col min="24" max="24" width="10.265625" style="9" customWidth="1"/>
    <col min="25" max="25" width="2.265625" style="9" customWidth="1"/>
    <col min="26" max="27" width="6.73046875" style="9" customWidth="1"/>
    <col min="28" max="28" width="10.265625" style="9" customWidth="1"/>
    <col min="29" max="29" width="2.265625" style="9" customWidth="1"/>
    <col min="30" max="31" width="6.73046875" style="9" customWidth="1"/>
    <col min="32" max="32" width="10.265625" style="9" customWidth="1"/>
    <col min="33" max="33" width="2.265625" style="9" customWidth="1"/>
    <col min="34" max="35" width="6.73046875" style="9" customWidth="1"/>
    <col min="36" max="36" width="10.265625" style="9" customWidth="1"/>
    <col min="37" max="37" width="6.265625" style="9" bestFit="1" customWidth="1"/>
    <col min="38" max="16384" width="11.3984375" style="9"/>
  </cols>
  <sheetData>
    <row r="1" spans="2:10" ht="18.95" customHeight="1" x14ac:dyDescent="0.5">
      <c r="B1" s="33" t="str">
        <f>B!$B$1</f>
        <v>DICIEMBRE</v>
      </c>
      <c r="C1" s="34" t="s">
        <v>0</v>
      </c>
      <c r="D1" s="35" t="s">
        <v>19</v>
      </c>
      <c r="E1" s="36" t="s">
        <v>264</v>
      </c>
      <c r="F1" s="37"/>
      <c r="G1" s="169"/>
      <c r="H1" s="169"/>
      <c r="I1" s="169"/>
      <c r="J1" s="169"/>
    </row>
    <row r="2" spans="2:10" ht="18.95" customHeight="1" x14ac:dyDescent="0.5">
      <c r="B2" s="33" t="s">
        <v>12</v>
      </c>
      <c r="C2" s="31" t="s">
        <v>11</v>
      </c>
      <c r="D2" s="31">
        <v>101</v>
      </c>
      <c r="E2" s="176">
        <f>SUM('Cuota-Pago=Saldo'!AN166)</f>
        <v>-415.27039734197257</v>
      </c>
      <c r="F2" s="33"/>
      <c r="G2" s="169"/>
      <c r="H2" s="169"/>
      <c r="I2" s="169"/>
      <c r="J2" s="169"/>
    </row>
    <row r="3" spans="2:10" ht="18.95" customHeight="1" x14ac:dyDescent="0.5">
      <c r="C3" s="31" t="s">
        <v>11</v>
      </c>
      <c r="D3" s="31">
        <v>102</v>
      </c>
      <c r="E3" s="176">
        <f>SUM('Cuota-Pago=Saldo'!AN167)</f>
        <v>-805.26718760474739</v>
      </c>
      <c r="F3" s="33"/>
      <c r="G3" s="169"/>
      <c r="H3" s="169"/>
      <c r="I3" s="169"/>
      <c r="J3" s="169"/>
    </row>
    <row r="4" spans="2:10" ht="18.95" customHeight="1" x14ac:dyDescent="0.5">
      <c r="C4" s="31" t="s">
        <v>11</v>
      </c>
      <c r="D4" s="31">
        <v>103</v>
      </c>
      <c r="E4" s="176">
        <f>SUM('Cuota-Pago=Saldo'!AN168)</f>
        <v>4.7697959677179824E-3</v>
      </c>
      <c r="F4" s="33"/>
      <c r="G4" s="169"/>
      <c r="H4" s="169"/>
      <c r="I4" s="169"/>
      <c r="J4" s="169"/>
    </row>
    <row r="5" spans="2:10" ht="18.95" customHeight="1" x14ac:dyDescent="0.5">
      <c r="C5" s="31" t="s">
        <v>11</v>
      </c>
      <c r="D5" s="31">
        <v>104</v>
      </c>
      <c r="E5" s="176">
        <f>SUM('Cuota-Pago=Saldo'!AN169)</f>
        <v>-1143.3487843726593</v>
      </c>
      <c r="F5" s="33"/>
      <c r="G5" s="169"/>
      <c r="H5" s="169"/>
      <c r="I5" s="169"/>
      <c r="J5" s="169"/>
    </row>
    <row r="6" spans="2:10" ht="18.95" customHeight="1" x14ac:dyDescent="0.5">
      <c r="C6" s="31" t="s">
        <v>11</v>
      </c>
      <c r="D6" s="31">
        <v>201</v>
      </c>
      <c r="E6" s="176">
        <f>SUM('Cuota-Pago=Saldo'!AN170)</f>
        <v>-389.62537317609923</v>
      </c>
      <c r="F6" s="33"/>
      <c r="G6" s="169"/>
      <c r="H6" s="169"/>
      <c r="I6" s="169"/>
      <c r="J6" s="169"/>
    </row>
    <row r="7" spans="2:10" ht="18.95" customHeight="1" x14ac:dyDescent="0.5">
      <c r="C7" s="31" t="s">
        <v>11</v>
      </c>
      <c r="D7" s="31">
        <v>202</v>
      </c>
      <c r="E7" s="176">
        <f>SUM('Cuota-Pago=Saldo'!AN171)</f>
        <v>-2349.3594420127056</v>
      </c>
      <c r="F7" s="33"/>
      <c r="G7" s="353" t="s">
        <v>308</v>
      </c>
      <c r="H7" s="353"/>
      <c r="I7" s="183">
        <v>5</v>
      </c>
      <c r="J7" s="169"/>
    </row>
    <row r="8" spans="2:10" ht="18.95" customHeight="1" x14ac:dyDescent="0.5">
      <c r="C8" s="31" t="s">
        <v>11</v>
      </c>
      <c r="D8" s="31">
        <v>203</v>
      </c>
      <c r="E8" s="176">
        <f>SUM('Cuota-Pago=Saldo'!AN172)</f>
        <v>-2561.7966956054715</v>
      </c>
      <c r="F8" s="33"/>
      <c r="G8" s="164"/>
      <c r="H8" s="164"/>
      <c r="I8" s="183">
        <v>15</v>
      </c>
      <c r="J8" s="169"/>
    </row>
    <row r="9" spans="2:10" ht="18.95" customHeight="1" x14ac:dyDescent="0.5">
      <c r="C9" s="31" t="s">
        <v>11</v>
      </c>
      <c r="D9" s="31">
        <v>204</v>
      </c>
      <c r="E9" s="176">
        <f>SUM('Cuota-Pago=Saldo'!AN173)</f>
        <v>-385.42569831160944</v>
      </c>
      <c r="F9" s="33"/>
      <c r="G9" s="164"/>
      <c r="H9" s="164"/>
      <c r="I9" s="183">
        <v>20</v>
      </c>
      <c r="J9" s="169"/>
    </row>
    <row r="10" spans="2:10" ht="18.95" customHeight="1" x14ac:dyDescent="0.5">
      <c r="C10" s="31" t="s">
        <v>11</v>
      </c>
      <c r="D10" s="31">
        <v>301</v>
      </c>
      <c r="E10" s="176">
        <f>SUM('Cuota-Pago=Saldo'!AN174)</f>
        <v>-6.6953600137367175E-3</v>
      </c>
      <c r="F10" s="33"/>
      <c r="G10" s="169"/>
      <c r="H10" s="169"/>
      <c r="I10" s="169"/>
      <c r="J10" s="169"/>
    </row>
    <row r="11" spans="2:10" ht="18.95" customHeight="1" x14ac:dyDescent="0.35">
      <c r="C11" s="31" t="s">
        <v>11</v>
      </c>
      <c r="D11" s="31">
        <v>302</v>
      </c>
      <c r="E11" s="176">
        <f>SUM('Cuota-Pago=Saldo'!AN175)</f>
        <v>-2960.0282782514287</v>
      </c>
      <c r="G11" s="169"/>
      <c r="H11" s="169"/>
      <c r="I11" s="169"/>
      <c r="J11" s="169"/>
    </row>
    <row r="12" spans="2:10" ht="18.95" customHeight="1" x14ac:dyDescent="0.35">
      <c r="C12" s="31" t="s">
        <v>11</v>
      </c>
      <c r="D12" s="31">
        <v>303</v>
      </c>
      <c r="E12" s="176">
        <f>SUM('Cuota-Pago=Saldo'!AN176)</f>
        <v>-5.7159511965210186E-4</v>
      </c>
      <c r="G12" s="169"/>
      <c r="H12" s="169"/>
      <c r="I12" s="169"/>
      <c r="J12" s="169"/>
    </row>
    <row r="13" spans="2:10" ht="18.95" customHeight="1" x14ac:dyDescent="0.35">
      <c r="C13" s="31" t="s">
        <v>11</v>
      </c>
      <c r="D13" s="31">
        <v>304</v>
      </c>
      <c r="E13" s="176">
        <f>SUM('Cuota-Pago=Saldo'!AN177)</f>
        <v>-1.1470710974208487E-3</v>
      </c>
      <c r="G13" s="169"/>
      <c r="H13" s="169"/>
      <c r="I13" s="169"/>
      <c r="J13" s="169"/>
    </row>
    <row r="14" spans="2:10" ht="18.95" customHeight="1" x14ac:dyDescent="0.35">
      <c r="C14" s="31" t="s">
        <v>11</v>
      </c>
      <c r="D14" s="31">
        <v>401</v>
      </c>
      <c r="E14" s="176">
        <f>SUM('Cuota-Pago=Saldo'!AN178)</f>
        <v>599.99935888553705</v>
      </c>
    </row>
    <row r="15" spans="2:10" ht="18.95" customHeight="1" x14ac:dyDescent="0.35">
      <c r="C15" s="31" t="s">
        <v>11</v>
      </c>
      <c r="D15" s="31">
        <v>402</v>
      </c>
      <c r="E15" s="176">
        <f>SUM('Cuota-Pago=Saldo'!AN179)</f>
        <v>-356.09514306770291</v>
      </c>
    </row>
    <row r="16" spans="2:10" ht="18.95" customHeight="1" x14ac:dyDescent="0.35">
      <c r="C16" s="31" t="s">
        <v>11</v>
      </c>
      <c r="D16" s="32">
        <v>403</v>
      </c>
      <c r="E16" s="176">
        <f>SUM('Cuota-Pago=Saldo'!AN180)</f>
        <v>0.69109323953165358</v>
      </c>
    </row>
    <row r="17" spans="2:16" ht="18.95" customHeight="1" x14ac:dyDescent="0.5">
      <c r="B17" s="177" t="s">
        <v>332</v>
      </c>
      <c r="C17" s="31" t="s">
        <v>11</v>
      </c>
      <c r="D17" s="31">
        <v>404</v>
      </c>
      <c r="E17" s="176">
        <f>SUM('Cuota-Pago=Saldo'!AN181)</f>
        <v>-797.28150748087717</v>
      </c>
    </row>
    <row r="18" spans="2:16" ht="18.95" customHeight="1" x14ac:dyDescent="0.35">
      <c r="B18" s="352" t="s">
        <v>295</v>
      </c>
      <c r="C18" s="31" t="s">
        <v>11</v>
      </c>
      <c r="D18" s="31">
        <v>501</v>
      </c>
      <c r="E18" s="176">
        <f>SUM('Cuota-Pago=Saldo'!AN182)</f>
        <v>-3341.8210919952994</v>
      </c>
    </row>
    <row r="19" spans="2:16" ht="18.95" customHeight="1" x14ac:dyDescent="0.35">
      <c r="B19" s="352"/>
      <c r="C19" s="31" t="s">
        <v>11</v>
      </c>
      <c r="D19" s="31">
        <v>502</v>
      </c>
      <c r="E19" s="176">
        <f>SUM('Cuota-Pago=Saldo'!AN183)</f>
        <v>-396.71181346520279</v>
      </c>
    </row>
    <row r="20" spans="2:16" ht="18.95" customHeight="1" x14ac:dyDescent="0.4">
      <c r="B20" s="175">
        <f ca="1">NOW()</f>
        <v>46027.277088425923</v>
      </c>
      <c r="C20" s="31" t="s">
        <v>11</v>
      </c>
      <c r="D20" s="31">
        <v>503</v>
      </c>
      <c r="E20" s="176">
        <f>SUM('Cuota-Pago=Saldo'!AN184)</f>
        <v>-382.88285915249992</v>
      </c>
    </row>
    <row r="21" spans="2:16" ht="18.75" customHeight="1" x14ac:dyDescent="0.5">
      <c r="B21" s="174">
        <f ca="1">NOW()</f>
        <v>46027.277088657407</v>
      </c>
      <c r="C21" s="31" t="s">
        <v>11</v>
      </c>
      <c r="D21" s="31">
        <v>504</v>
      </c>
      <c r="E21" s="176">
        <f>SUM('Cuota-Pago=Saldo'!AN185)</f>
        <v>-412.87208870420847</v>
      </c>
      <c r="H21" s="33" t="s">
        <v>311</v>
      </c>
      <c r="M21" s="173"/>
      <c r="N21" s="173"/>
      <c r="O21" s="173"/>
    </row>
    <row r="22" spans="2:16" s="33" customFormat="1" ht="18.95" customHeight="1" x14ac:dyDescent="0.5">
      <c r="B22" s="163" t="s">
        <v>284</v>
      </c>
      <c r="C22" s="38"/>
      <c r="D22" s="38"/>
      <c r="E22" s="39"/>
    </row>
    <row r="23" spans="2:16" s="163" customFormat="1" ht="80.099999999999994" customHeight="1" x14ac:dyDescent="0.5">
      <c r="B23" s="351" t="s">
        <v>306</v>
      </c>
      <c r="C23" s="351"/>
      <c r="D23" s="351"/>
      <c r="E23" s="351"/>
      <c r="F23" s="351"/>
      <c r="G23" s="351"/>
      <c r="H23" s="351"/>
      <c r="I23" s="351"/>
      <c r="J23" s="351"/>
    </row>
    <row r="24" spans="2:16" s="33" customFormat="1" ht="17.649999999999999" x14ac:dyDescent="0.5">
      <c r="C24" s="38"/>
      <c r="D24" s="38"/>
      <c r="E24" s="39"/>
    </row>
    <row r="25" spans="2:16" s="33" customFormat="1" ht="18.95" customHeight="1" x14ac:dyDescent="0.5">
      <c r="B25" s="165" t="s">
        <v>285</v>
      </c>
      <c r="C25" s="166" t="s">
        <v>292</v>
      </c>
      <c r="D25" s="38"/>
      <c r="E25" s="39"/>
    </row>
    <row r="26" spans="2:16" s="33" customFormat="1" ht="18.95" customHeight="1" x14ac:dyDescent="0.5">
      <c r="B26" s="165" t="s">
        <v>286</v>
      </c>
      <c r="C26" s="167" t="s">
        <v>287</v>
      </c>
      <c r="D26" s="38"/>
      <c r="E26" s="39"/>
    </row>
    <row r="27" spans="2:16" s="33" customFormat="1" ht="18.95" customHeight="1" x14ac:dyDescent="0.5">
      <c r="B27" s="165" t="s">
        <v>288</v>
      </c>
      <c r="C27" s="167" t="s">
        <v>291</v>
      </c>
      <c r="D27" s="38"/>
      <c r="E27" s="39"/>
    </row>
    <row r="28" spans="2:16" s="33" customFormat="1" ht="18.95" customHeight="1" x14ac:dyDescent="0.5">
      <c r="B28" s="165" t="s">
        <v>289</v>
      </c>
      <c r="C28" s="166" t="s">
        <v>293</v>
      </c>
      <c r="D28" s="38"/>
      <c r="E28" s="39"/>
    </row>
    <row r="29" spans="2:16" s="33" customFormat="1" ht="18.95" customHeight="1" x14ac:dyDescent="0.5">
      <c r="B29" s="165" t="s">
        <v>290</v>
      </c>
      <c r="C29" s="166" t="s">
        <v>294</v>
      </c>
      <c r="D29" s="38"/>
      <c r="E29" s="39"/>
    </row>
    <row r="31" spans="2:16" ht="18" customHeight="1" x14ac:dyDescent="0.35">
      <c r="B31" s="350" t="s">
        <v>327</v>
      </c>
      <c r="C31" s="350"/>
      <c r="D31" s="350"/>
      <c r="E31" s="350"/>
      <c r="F31" s="350"/>
      <c r="G31" s="350"/>
      <c r="H31" s="350"/>
      <c r="I31" s="98"/>
      <c r="J31" s="98"/>
      <c r="K31" s="91"/>
      <c r="L31" s="91"/>
      <c r="M31" s="91"/>
      <c r="N31" s="91"/>
      <c r="O31" s="91"/>
      <c r="P31" s="91"/>
    </row>
    <row r="32" spans="2:16" ht="17.25" customHeight="1" x14ac:dyDescent="0.35">
      <c r="B32" s="350"/>
      <c r="C32" s="350"/>
      <c r="D32" s="350"/>
      <c r="E32" s="350"/>
      <c r="F32" s="350"/>
      <c r="G32" s="350"/>
      <c r="H32" s="350"/>
      <c r="I32" s="98"/>
      <c r="J32" s="98"/>
      <c r="K32" s="91"/>
      <c r="L32" s="91"/>
      <c r="M32" s="91"/>
      <c r="N32" s="91"/>
      <c r="O32" s="91"/>
      <c r="P32" s="91"/>
    </row>
    <row r="33" spans="2:16" ht="18" customHeight="1" x14ac:dyDescent="0.35">
      <c r="B33" s="350"/>
      <c r="C33" s="350"/>
      <c r="D33" s="350"/>
      <c r="E33" s="350"/>
      <c r="F33" s="350"/>
      <c r="G33" s="350"/>
      <c r="H33" s="350"/>
      <c r="I33" s="98"/>
      <c r="J33" s="98"/>
      <c r="K33" s="91"/>
      <c r="L33" s="91"/>
      <c r="M33" s="91"/>
      <c r="N33" s="91"/>
      <c r="O33" s="91"/>
      <c r="P33" s="91"/>
    </row>
    <row r="34" spans="2:16" ht="18" customHeight="1" x14ac:dyDescent="0.35">
      <c r="B34" s="350"/>
      <c r="C34" s="350"/>
      <c r="D34" s="350"/>
      <c r="E34" s="350"/>
      <c r="F34" s="350"/>
      <c r="G34" s="350"/>
      <c r="H34" s="350"/>
      <c r="I34" s="98"/>
      <c r="J34" s="98"/>
      <c r="K34" s="91"/>
      <c r="L34" s="91"/>
      <c r="M34" s="91"/>
      <c r="N34" s="91"/>
      <c r="O34" s="91"/>
      <c r="P34" s="91"/>
    </row>
    <row r="35" spans="2:16" ht="18" customHeight="1" x14ac:dyDescent="0.35">
      <c r="B35" s="350"/>
      <c r="C35" s="350"/>
      <c r="D35" s="350"/>
      <c r="E35" s="350"/>
      <c r="F35" s="350"/>
      <c r="G35" s="350"/>
      <c r="H35" s="350"/>
      <c r="I35" s="98"/>
      <c r="J35" s="98"/>
      <c r="K35" s="91"/>
      <c r="L35" s="91"/>
      <c r="M35" s="91"/>
      <c r="N35" s="91"/>
      <c r="O35" s="91"/>
      <c r="P35" s="91"/>
    </row>
    <row r="36" spans="2:16" ht="18" customHeight="1" x14ac:dyDescent="0.35">
      <c r="B36" s="350"/>
      <c r="C36" s="350"/>
      <c r="D36" s="350"/>
      <c r="E36" s="350"/>
      <c r="F36" s="350"/>
      <c r="G36" s="350"/>
      <c r="H36" s="350"/>
      <c r="I36" s="98"/>
      <c r="J36" s="98"/>
      <c r="K36" s="91"/>
      <c r="L36" s="91"/>
      <c r="M36" s="91"/>
      <c r="N36" s="91"/>
      <c r="O36" s="91"/>
      <c r="P36" s="91"/>
    </row>
    <row r="37" spans="2:16" ht="18" customHeight="1" x14ac:dyDescent="0.35">
      <c r="B37" s="350"/>
      <c r="C37" s="350"/>
      <c r="D37" s="350"/>
      <c r="E37" s="350"/>
      <c r="F37" s="350"/>
      <c r="G37" s="350"/>
      <c r="H37" s="350"/>
      <c r="I37" s="98"/>
      <c r="J37" s="98"/>
      <c r="K37" s="91"/>
      <c r="L37" s="91"/>
      <c r="M37" s="91"/>
      <c r="N37" s="91"/>
      <c r="O37" s="91"/>
      <c r="P37" s="91"/>
    </row>
    <row r="38" spans="2:16" ht="18" customHeight="1" x14ac:dyDescent="0.35">
      <c r="B38" s="350"/>
      <c r="C38" s="350"/>
      <c r="D38" s="350"/>
      <c r="E38" s="350"/>
      <c r="F38" s="350"/>
      <c r="G38" s="350"/>
      <c r="H38" s="350"/>
      <c r="I38" s="98"/>
      <c r="J38" s="98"/>
      <c r="K38" s="91"/>
      <c r="L38" s="91"/>
      <c r="M38" s="91"/>
      <c r="N38" s="91"/>
      <c r="O38" s="91"/>
      <c r="P38" s="91"/>
    </row>
    <row r="39" spans="2:16" ht="15" customHeight="1" x14ac:dyDescent="0.35">
      <c r="B39" s="98"/>
      <c r="C39" s="98"/>
      <c r="D39" s="98"/>
      <c r="E39" s="98"/>
      <c r="F39" s="98"/>
      <c r="G39" s="98"/>
      <c r="H39" s="98"/>
      <c r="I39" s="98"/>
      <c r="J39" s="98"/>
      <c r="K39" s="91"/>
      <c r="L39" s="91"/>
      <c r="M39" s="91"/>
      <c r="N39" s="91"/>
      <c r="O39" s="91"/>
      <c r="P39" s="91"/>
    </row>
    <row r="40" spans="2:16" ht="14.25" customHeight="1" x14ac:dyDescent="0.35">
      <c r="B40" s="98"/>
      <c r="C40" s="98"/>
      <c r="D40" s="98"/>
      <c r="E40" s="98"/>
      <c r="F40" s="98"/>
      <c r="G40" s="98"/>
      <c r="H40" s="98"/>
      <c r="I40" s="98"/>
      <c r="J40" s="98"/>
    </row>
    <row r="41" spans="2:16" ht="14.25" customHeight="1" x14ac:dyDescent="0.35">
      <c r="B41" s="98"/>
      <c r="C41" s="98"/>
      <c r="D41" s="98"/>
      <c r="E41" s="98"/>
      <c r="F41" s="98"/>
      <c r="G41" s="98"/>
      <c r="H41" s="98"/>
      <c r="I41" s="98"/>
      <c r="J41" s="98"/>
    </row>
  </sheetData>
  <mergeCells count="4">
    <mergeCell ref="B23:J23"/>
    <mergeCell ref="B31:H38"/>
    <mergeCell ref="B18:B19"/>
    <mergeCell ref="G7:H7"/>
  </mergeCells>
  <conditionalFormatting sqref="E2:E21">
    <cfRule type="cellIs" dxfId="1" priority="1" operator="between">
      <formula>0</formula>
      <formula>-0.9</formula>
    </cfRule>
    <cfRule type="cellIs" dxfId="0" priority="2" operator="lessThan">
      <formula>-1000</formula>
    </cfRule>
  </conditionalFormatting>
  <pageMargins left="0.31496062992125984" right="0.31496062992125984" top="0.94488188976377963" bottom="0.35433070866141736" header="0.31496062992125984" footer="0.31496062992125984"/>
  <pageSetup paperSize="9" scale="95" orientation="portrait" horizontalDpi="360" verticalDpi="360" r:id="rId1"/>
  <headerFooter>
    <oddHeader>&amp;C&amp;20&amp;KFF0000CUOTA MANTENIMIENTO - 2025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47826-0BE1-4063-B41D-4E5808C3F9F6}">
  <dimension ref="A1:Q197"/>
  <sheetViews>
    <sheetView zoomScale="85" zoomScaleNormal="85" workbookViewId="0">
      <pane xSplit="5" ySplit="2" topLeftCell="F3" activePane="bottomRight" state="frozen"/>
      <selection activeCell="B1" sqref="B1"/>
      <selection pane="topRight" activeCell="F1" sqref="F1"/>
      <selection pane="bottomLeft" activeCell="B3" sqref="B3"/>
      <selection pane="bottomRight" activeCell="J3" sqref="J3"/>
    </sheetView>
  </sheetViews>
  <sheetFormatPr baseColWidth="10" defaultRowHeight="14.65" x14ac:dyDescent="0.45"/>
  <cols>
    <col min="1" max="1" width="5.73046875" hidden="1" customWidth="1"/>
    <col min="2" max="2" width="3.3984375" bestFit="1" customWidth="1"/>
    <col min="3" max="3" width="7.1328125" style="111" bestFit="1" customWidth="1"/>
    <col min="4" max="4" width="6.265625" bestFit="1" customWidth="1"/>
    <col min="5" max="5" width="8.3984375" style="59" hidden="1" customWidth="1"/>
    <col min="6" max="6" width="8.86328125" style="6" customWidth="1"/>
    <col min="7" max="7" width="7.265625" style="61" customWidth="1"/>
    <col min="8" max="8" width="7.265625" style="62" customWidth="1"/>
    <col min="9" max="9" width="6.59765625" style="62" customWidth="1"/>
    <col min="10" max="10" width="8.86328125" style="6" customWidth="1"/>
    <col min="11" max="11" width="14.59765625" style="92" bestFit="1" customWidth="1"/>
  </cols>
  <sheetData>
    <row r="1" spans="1:13" s="6" customFormat="1" ht="27.75" customHeight="1" x14ac:dyDescent="0.45">
      <c r="C1" s="110">
        <v>2024</v>
      </c>
      <c r="E1" s="55"/>
      <c r="F1" s="96" t="s">
        <v>20</v>
      </c>
      <c r="G1" s="57"/>
      <c r="H1" s="58"/>
      <c r="I1" s="58"/>
      <c r="J1" s="96" t="s">
        <v>20</v>
      </c>
      <c r="K1" s="153"/>
      <c r="M1" s="24">
        <f>SUM(M183)</f>
        <v>0</v>
      </c>
    </row>
    <row r="2" spans="1:13" hidden="1" x14ac:dyDescent="0.45"/>
    <row r="3" spans="1:13" ht="20.100000000000001" customHeight="1" x14ac:dyDescent="0.45">
      <c r="A3" s="63" t="s">
        <v>86</v>
      </c>
      <c r="B3" s="64">
        <v>1</v>
      </c>
      <c r="C3" s="112" t="s">
        <v>3</v>
      </c>
      <c r="D3" s="65">
        <v>101</v>
      </c>
      <c r="E3" s="66">
        <v>0</v>
      </c>
      <c r="F3" s="90">
        <v>3.2817782200140755E-3</v>
      </c>
      <c r="G3" s="72" t="s">
        <v>318</v>
      </c>
      <c r="I3" s="67"/>
      <c r="J3" s="90">
        <f>'[1]Cuota-Pago=Saldo'!AN6</f>
        <v>3.2817782200140755E-3</v>
      </c>
      <c r="K3" s="92" t="s">
        <v>313</v>
      </c>
      <c r="M3" s="29">
        <f>SUM(J3,-F3)</f>
        <v>0</v>
      </c>
    </row>
    <row r="4" spans="1:13" ht="20.100000000000001" customHeight="1" x14ac:dyDescent="0.45">
      <c r="A4" s="63" t="s">
        <v>87</v>
      </c>
      <c r="B4" s="64">
        <v>2</v>
      </c>
      <c r="C4" s="112" t="s">
        <v>3</v>
      </c>
      <c r="D4" s="65">
        <v>102</v>
      </c>
      <c r="E4" s="66">
        <v>0</v>
      </c>
      <c r="F4" s="90">
        <v>-1.0387967845417734E-3</v>
      </c>
      <c r="I4" s="68"/>
      <c r="J4" s="90">
        <f>'[1]Cuota-Pago=Saldo'!AN7</f>
        <v>-1.0387967845417734E-3</v>
      </c>
      <c r="M4" s="29">
        <f t="shared" ref="M4:M67" si="0">SUM(J4,-F4)</f>
        <v>0</v>
      </c>
    </row>
    <row r="5" spans="1:13" ht="20.100000000000001" customHeight="1" x14ac:dyDescent="0.45">
      <c r="A5" s="69" t="s">
        <v>88</v>
      </c>
      <c r="B5" s="64">
        <v>3</v>
      </c>
      <c r="C5" s="112" t="s">
        <v>3</v>
      </c>
      <c r="D5" s="65">
        <v>103</v>
      </c>
      <c r="E5" s="66">
        <v>0</v>
      </c>
      <c r="F5" s="90">
        <v>61.841288235009529</v>
      </c>
      <c r="I5" s="67"/>
      <c r="J5" s="90">
        <f>'[1]Cuota-Pago=Saldo'!AN8</f>
        <v>61.841288235009529</v>
      </c>
      <c r="M5" s="29">
        <f t="shared" si="0"/>
        <v>0</v>
      </c>
    </row>
    <row r="6" spans="1:13" ht="20.100000000000001" customHeight="1" x14ac:dyDescent="0.45">
      <c r="A6" s="69" t="s">
        <v>89</v>
      </c>
      <c r="B6" s="64">
        <v>4</v>
      </c>
      <c r="C6" s="112" t="s">
        <v>3</v>
      </c>
      <c r="D6" s="65">
        <v>104</v>
      </c>
      <c r="E6" s="66">
        <v>0</v>
      </c>
      <c r="F6" s="90">
        <v>52.196351418373865</v>
      </c>
      <c r="J6" s="90">
        <f>'[1]Cuota-Pago=Saldo'!AN9</f>
        <v>52.196351418373865</v>
      </c>
      <c r="M6" s="29">
        <f t="shared" si="0"/>
        <v>0</v>
      </c>
    </row>
    <row r="7" spans="1:13" ht="20.100000000000001" customHeight="1" x14ac:dyDescent="0.45">
      <c r="A7" s="63" t="s">
        <v>90</v>
      </c>
      <c r="B7" s="64">
        <v>5</v>
      </c>
      <c r="C7" s="112" t="s">
        <v>3</v>
      </c>
      <c r="D7" s="65">
        <v>201</v>
      </c>
      <c r="E7" s="66">
        <v>0</v>
      </c>
      <c r="F7" s="90">
        <v>-2.2899954561808045E-3</v>
      </c>
      <c r="J7" s="90">
        <f>'[1]Cuota-Pago=Saldo'!AN10</f>
        <v>-2.2899954561808045E-3</v>
      </c>
      <c r="M7" s="29">
        <f t="shared" si="0"/>
        <v>0</v>
      </c>
    </row>
    <row r="8" spans="1:13" ht="20.100000000000001" customHeight="1" x14ac:dyDescent="0.45">
      <c r="A8" s="63" t="s">
        <v>91</v>
      </c>
      <c r="B8" s="64">
        <v>6</v>
      </c>
      <c r="C8" s="112" t="s">
        <v>3</v>
      </c>
      <c r="D8" s="65">
        <v>202</v>
      </c>
      <c r="E8" s="66">
        <v>0</v>
      </c>
      <c r="F8" s="90">
        <v>333.07680037015695</v>
      </c>
      <c r="J8" s="90">
        <f>'[1]Cuota-Pago=Saldo'!AN11</f>
        <v>333.07680037015695</v>
      </c>
      <c r="M8" s="29">
        <f t="shared" si="0"/>
        <v>0</v>
      </c>
    </row>
    <row r="9" spans="1:13" ht="20.100000000000001" customHeight="1" x14ac:dyDescent="0.45">
      <c r="A9" s="69" t="s">
        <v>92</v>
      </c>
      <c r="B9" s="64">
        <v>7</v>
      </c>
      <c r="C9" s="112" t="s">
        <v>3</v>
      </c>
      <c r="D9" s="65">
        <v>203</v>
      </c>
      <c r="E9" s="66">
        <v>0</v>
      </c>
      <c r="F9" s="90">
        <v>3.8454436418646765E-3</v>
      </c>
      <c r="J9" s="90">
        <f>'[1]Cuota-Pago=Saldo'!AN12</f>
        <v>3.8454436418646765E-3</v>
      </c>
      <c r="M9" s="29">
        <f t="shared" si="0"/>
        <v>0</v>
      </c>
    </row>
    <row r="10" spans="1:13" ht="20.100000000000001" customHeight="1" x14ac:dyDescent="0.45">
      <c r="A10" s="69" t="s">
        <v>93</v>
      </c>
      <c r="B10" s="64">
        <v>8</v>
      </c>
      <c r="C10" s="112" t="s">
        <v>3</v>
      </c>
      <c r="D10" s="65">
        <v>204</v>
      </c>
      <c r="E10" s="66">
        <v>0</v>
      </c>
      <c r="F10" s="90">
        <v>-1.0509709925941024E-3</v>
      </c>
      <c r="J10" s="90">
        <f>'[1]Cuota-Pago=Saldo'!AN13</f>
        <v>-1.0509709925941024E-3</v>
      </c>
      <c r="M10" s="29">
        <f t="shared" si="0"/>
        <v>0</v>
      </c>
    </row>
    <row r="11" spans="1:13" ht="20.100000000000001" customHeight="1" x14ac:dyDescent="0.45">
      <c r="A11" s="63" t="s">
        <v>94</v>
      </c>
      <c r="B11" s="64">
        <v>9</v>
      </c>
      <c r="C11" s="112" t="s">
        <v>3</v>
      </c>
      <c r="D11" s="65">
        <v>301</v>
      </c>
      <c r="E11" s="66">
        <v>0</v>
      </c>
      <c r="F11" s="90">
        <v>1.3583397533238895E-3</v>
      </c>
      <c r="G11" s="82"/>
      <c r="I11" s="82"/>
      <c r="J11" s="90">
        <f>'[1]Cuota-Pago=Saldo'!AN14</f>
        <v>1.3583397533238895E-3</v>
      </c>
      <c r="M11" s="29">
        <f t="shared" si="0"/>
        <v>0</v>
      </c>
    </row>
    <row r="12" spans="1:13" ht="20.100000000000001" customHeight="1" x14ac:dyDescent="0.45">
      <c r="A12" s="63" t="s">
        <v>95</v>
      </c>
      <c r="B12" s="64">
        <v>10</v>
      </c>
      <c r="C12" s="112" t="s">
        <v>3</v>
      </c>
      <c r="D12" s="65">
        <v>302</v>
      </c>
      <c r="E12" s="66">
        <v>0</v>
      </c>
      <c r="F12" s="90">
        <v>112.41508767626141</v>
      </c>
      <c r="G12" s="82"/>
      <c r="I12" s="82"/>
      <c r="J12" s="90">
        <f>'[1]Cuota-Pago=Saldo'!AN15</f>
        <v>112.41508767626141</v>
      </c>
      <c r="M12" s="29">
        <f t="shared" si="0"/>
        <v>0</v>
      </c>
    </row>
    <row r="13" spans="1:13" ht="20.100000000000001" customHeight="1" x14ac:dyDescent="0.45">
      <c r="A13" s="63" t="s">
        <v>96</v>
      </c>
      <c r="B13" s="64">
        <v>11</v>
      </c>
      <c r="C13" s="112" t="s">
        <v>3</v>
      </c>
      <c r="D13" s="65">
        <v>303</v>
      </c>
      <c r="E13" s="66">
        <v>0</v>
      </c>
      <c r="F13" s="90">
        <v>-3.5199356020143568E-3</v>
      </c>
      <c r="G13" s="82"/>
      <c r="I13" s="82"/>
      <c r="J13" s="90">
        <f>'[1]Cuota-Pago=Saldo'!AN16</f>
        <v>-3.5199356020143568E-3</v>
      </c>
      <c r="M13" s="29">
        <f t="shared" si="0"/>
        <v>0</v>
      </c>
    </row>
    <row r="14" spans="1:13" ht="20.100000000000001" customHeight="1" x14ac:dyDescent="0.45">
      <c r="A14" s="69" t="s">
        <v>97</v>
      </c>
      <c r="B14" s="64">
        <v>12</v>
      </c>
      <c r="C14" s="112" t="s">
        <v>3</v>
      </c>
      <c r="D14" s="65">
        <v>304</v>
      </c>
      <c r="E14" s="66">
        <v>0</v>
      </c>
      <c r="F14" s="90">
        <v>2.1527399151182181E-3</v>
      </c>
      <c r="G14" s="82"/>
      <c r="I14" s="82"/>
      <c r="J14" s="90">
        <f>'[1]Cuota-Pago=Saldo'!AN17</f>
        <v>2.1527399151182181E-3</v>
      </c>
      <c r="M14" s="29">
        <f t="shared" si="0"/>
        <v>0</v>
      </c>
    </row>
    <row r="15" spans="1:13" ht="20.100000000000001" customHeight="1" x14ac:dyDescent="0.45">
      <c r="A15" s="63" t="s">
        <v>98</v>
      </c>
      <c r="B15" s="64">
        <v>13</v>
      </c>
      <c r="C15" s="112" t="s">
        <v>3</v>
      </c>
      <c r="D15" s="65">
        <v>401</v>
      </c>
      <c r="E15" s="66">
        <v>0</v>
      </c>
      <c r="F15" s="90">
        <v>670.45469377269126</v>
      </c>
      <c r="G15" s="82"/>
      <c r="I15" s="82"/>
      <c r="J15" s="90">
        <f>'[1]Cuota-Pago=Saldo'!AN18</f>
        <v>670.45469377269126</v>
      </c>
      <c r="M15" s="29">
        <f t="shared" si="0"/>
        <v>0</v>
      </c>
    </row>
    <row r="16" spans="1:13" ht="20.100000000000001" customHeight="1" x14ac:dyDescent="0.45">
      <c r="A16" s="69" t="s">
        <v>99</v>
      </c>
      <c r="B16" s="64">
        <v>14</v>
      </c>
      <c r="C16" s="112" t="s">
        <v>3</v>
      </c>
      <c r="D16" s="65">
        <v>402</v>
      </c>
      <c r="E16" s="66">
        <v>0.5</v>
      </c>
      <c r="F16" s="90">
        <v>35.223320216123284</v>
      </c>
      <c r="G16" s="82"/>
      <c r="I16" s="82"/>
      <c r="J16" s="90">
        <f>'[1]Cuota-Pago=Saldo'!AN19</f>
        <v>35.223320216123284</v>
      </c>
      <c r="M16" s="29">
        <f t="shared" si="0"/>
        <v>0</v>
      </c>
    </row>
    <row r="17" spans="1:17" ht="20.100000000000001" customHeight="1" x14ac:dyDescent="0.45">
      <c r="A17" s="69" t="s">
        <v>100</v>
      </c>
      <c r="B17" s="64">
        <v>15</v>
      </c>
      <c r="C17" s="113" t="s">
        <v>3</v>
      </c>
      <c r="D17" s="71">
        <v>403</v>
      </c>
      <c r="E17" s="66">
        <v>0</v>
      </c>
      <c r="F17" s="90">
        <v>2.1445319293889042E-3</v>
      </c>
      <c r="G17" s="82"/>
      <c r="I17" s="82"/>
      <c r="J17" s="90">
        <f>'[1]Cuota-Pago=Saldo'!AN20</f>
        <v>2.1445319293889042E-3</v>
      </c>
      <c r="M17" s="29">
        <f t="shared" si="0"/>
        <v>0</v>
      </c>
    </row>
    <row r="18" spans="1:17" ht="20.100000000000001" customHeight="1" x14ac:dyDescent="0.45">
      <c r="A18" s="69" t="s">
        <v>101</v>
      </c>
      <c r="B18" s="64">
        <v>16</v>
      </c>
      <c r="C18" s="112" t="s">
        <v>3</v>
      </c>
      <c r="D18" s="65">
        <v>404</v>
      </c>
      <c r="E18" s="66">
        <v>0</v>
      </c>
      <c r="F18" s="90">
        <v>17.288719596971532</v>
      </c>
      <c r="G18" s="82"/>
      <c r="I18" s="82"/>
      <c r="J18" s="90">
        <f>'[1]Cuota-Pago=Saldo'!AN21</f>
        <v>17.288719596971532</v>
      </c>
      <c r="M18" s="29">
        <f t="shared" si="0"/>
        <v>0</v>
      </c>
    </row>
    <row r="19" spans="1:17" ht="20.100000000000001" customHeight="1" x14ac:dyDescent="0.45">
      <c r="A19" s="69" t="s">
        <v>102</v>
      </c>
      <c r="B19" s="64">
        <v>17</v>
      </c>
      <c r="C19" s="112" t="s">
        <v>3</v>
      </c>
      <c r="D19" s="65">
        <v>501</v>
      </c>
      <c r="E19" s="66">
        <v>0</v>
      </c>
      <c r="F19" s="90">
        <v>2.4773876205466649</v>
      </c>
      <c r="G19" s="82"/>
      <c r="I19" s="82"/>
      <c r="J19" s="90">
        <f>'[1]Cuota-Pago=Saldo'!AN22</f>
        <v>2.4773876205466649</v>
      </c>
      <c r="M19" s="29">
        <f t="shared" si="0"/>
        <v>0</v>
      </c>
    </row>
    <row r="20" spans="1:17" ht="20.100000000000001" customHeight="1" x14ac:dyDescent="0.45">
      <c r="A20" s="69" t="s">
        <v>103</v>
      </c>
      <c r="B20" s="64">
        <v>18</v>
      </c>
      <c r="C20" s="113" t="s">
        <v>3</v>
      </c>
      <c r="D20" s="65">
        <v>502</v>
      </c>
      <c r="E20" s="66">
        <v>0</v>
      </c>
      <c r="F20" s="90">
        <v>2.6666785501561208E-3</v>
      </c>
      <c r="G20" s="82"/>
      <c r="I20" s="82"/>
      <c r="J20" s="90">
        <f>'[1]Cuota-Pago=Saldo'!AN23</f>
        <v>2.6666785501561208E-3</v>
      </c>
      <c r="M20" s="29">
        <f t="shared" si="0"/>
        <v>0</v>
      </c>
    </row>
    <row r="21" spans="1:17" ht="20.100000000000001" customHeight="1" x14ac:dyDescent="0.45">
      <c r="A21" s="69" t="s">
        <v>104</v>
      </c>
      <c r="B21" s="64">
        <v>19</v>
      </c>
      <c r="C21" s="112" t="s">
        <v>3</v>
      </c>
      <c r="D21" s="65">
        <v>503</v>
      </c>
      <c r="E21" s="66">
        <v>0</v>
      </c>
      <c r="F21" s="90">
        <v>19.949861107107949</v>
      </c>
      <c r="G21" s="82"/>
      <c r="I21" s="82"/>
      <c r="J21" s="90">
        <f>'[1]Cuota-Pago=Saldo'!AN24</f>
        <v>19.949861107107949</v>
      </c>
      <c r="M21" s="29">
        <f t="shared" si="0"/>
        <v>0</v>
      </c>
    </row>
    <row r="22" spans="1:17" ht="20.100000000000001" customHeight="1" x14ac:dyDescent="0.45">
      <c r="A22" s="69" t="s">
        <v>105</v>
      </c>
      <c r="B22" s="64">
        <v>20</v>
      </c>
      <c r="C22" s="112" t="s">
        <v>3</v>
      </c>
      <c r="D22" s="65">
        <v>504</v>
      </c>
      <c r="E22" s="66">
        <v>0</v>
      </c>
      <c r="F22" s="90">
        <v>-1.7465006155248375E-3</v>
      </c>
      <c r="G22" s="82"/>
      <c r="I22" s="82"/>
      <c r="J22" s="90">
        <f>'[1]Cuota-Pago=Saldo'!AN25</f>
        <v>-1.7465006155248375E-3</v>
      </c>
      <c r="M22" s="29">
        <f t="shared" si="0"/>
        <v>0</v>
      </c>
    </row>
    <row r="23" spans="1:17" ht="20.100000000000001" customHeight="1" x14ac:dyDescent="0.45">
      <c r="A23" s="63" t="s">
        <v>106</v>
      </c>
      <c r="B23" s="84">
        <v>1</v>
      </c>
      <c r="C23" s="112" t="s">
        <v>4</v>
      </c>
      <c r="D23" s="65">
        <v>101</v>
      </c>
      <c r="E23" s="66">
        <v>0</v>
      </c>
      <c r="F23" s="90">
        <v>4.1722626673958985E-3</v>
      </c>
      <c r="I23" s="67"/>
      <c r="J23" s="90">
        <f>'[1]Cuota-Pago=Saldo'!AN26</f>
        <v>4.1722626673958985E-3</v>
      </c>
      <c r="M23" s="29">
        <f t="shared" si="0"/>
        <v>0</v>
      </c>
    </row>
    <row r="24" spans="1:17" ht="20.100000000000001" customHeight="1" x14ac:dyDescent="0.45">
      <c r="A24" s="69" t="s">
        <v>107</v>
      </c>
      <c r="B24" s="84">
        <v>2</v>
      </c>
      <c r="C24" s="112" t="s">
        <v>4</v>
      </c>
      <c r="D24" s="65">
        <v>102</v>
      </c>
      <c r="E24" s="66">
        <v>0</v>
      </c>
      <c r="F24" s="90">
        <v>-2.0416138868313283E-3</v>
      </c>
      <c r="I24" s="68"/>
      <c r="J24" s="90">
        <f>'[1]Cuota-Pago=Saldo'!AN27</f>
        <v>-2.0416138868313283E-3</v>
      </c>
      <c r="M24" s="29">
        <f t="shared" si="0"/>
        <v>0</v>
      </c>
    </row>
    <row r="25" spans="1:17" ht="20.100000000000001" customHeight="1" x14ac:dyDescent="0.45">
      <c r="A25" s="69" t="s">
        <v>108</v>
      </c>
      <c r="B25" s="84">
        <v>3</v>
      </c>
      <c r="C25" s="112" t="s">
        <v>4</v>
      </c>
      <c r="D25" s="65">
        <v>103</v>
      </c>
      <c r="E25" s="66">
        <v>0</v>
      </c>
      <c r="F25" s="90">
        <v>-2.3698843000374836E-3</v>
      </c>
      <c r="I25" s="67"/>
      <c r="J25" s="90">
        <f>'[1]Cuota-Pago=Saldo'!AN28</f>
        <v>-2.3698843000374836E-3</v>
      </c>
      <c r="M25" s="29">
        <f t="shared" si="0"/>
        <v>0</v>
      </c>
    </row>
    <row r="26" spans="1:17" s="61" customFormat="1" ht="20.100000000000001" customHeight="1" x14ac:dyDescent="0.45">
      <c r="A26" s="69" t="s">
        <v>109</v>
      </c>
      <c r="B26" s="84">
        <v>4</v>
      </c>
      <c r="C26" s="112" t="s">
        <v>4</v>
      </c>
      <c r="D26" s="65">
        <v>104</v>
      </c>
      <c r="E26" s="66">
        <v>0</v>
      </c>
      <c r="F26" s="90">
        <v>-1.7374788182564771E-3</v>
      </c>
      <c r="H26" s="62"/>
      <c r="I26" s="62"/>
      <c r="J26" s="90">
        <f>'[1]Cuota-Pago=Saldo'!AN29</f>
        <v>-1.7374788182564771E-3</v>
      </c>
      <c r="L26"/>
      <c r="M26" s="29">
        <f t="shared" si="0"/>
        <v>0</v>
      </c>
      <c r="N26"/>
      <c r="O26"/>
      <c r="P26"/>
      <c r="Q26"/>
    </row>
    <row r="27" spans="1:17" s="61" customFormat="1" ht="20.100000000000001" customHeight="1" x14ac:dyDescent="0.45">
      <c r="A27" s="63" t="s">
        <v>110</v>
      </c>
      <c r="B27" s="84">
        <v>5</v>
      </c>
      <c r="C27" s="112" t="s">
        <v>4</v>
      </c>
      <c r="D27" s="65">
        <v>201</v>
      </c>
      <c r="E27" s="66">
        <v>0</v>
      </c>
      <c r="F27" s="90">
        <v>3.7638673629771802E-3</v>
      </c>
      <c r="H27" s="62"/>
      <c r="I27" s="62"/>
      <c r="J27" s="90">
        <f>'[1]Cuota-Pago=Saldo'!AN30</f>
        <v>3.7638673629771802E-3</v>
      </c>
      <c r="L27"/>
      <c r="M27" s="29">
        <f t="shared" si="0"/>
        <v>0</v>
      </c>
      <c r="N27"/>
      <c r="O27"/>
      <c r="P27"/>
      <c r="Q27"/>
    </row>
    <row r="28" spans="1:17" s="61" customFormat="1" ht="20.100000000000001" customHeight="1" x14ac:dyDescent="0.45">
      <c r="A28" s="63" t="s">
        <v>111</v>
      </c>
      <c r="B28" s="84">
        <v>6</v>
      </c>
      <c r="C28" s="112" t="s">
        <v>4</v>
      </c>
      <c r="D28" s="65">
        <v>202</v>
      </c>
      <c r="E28" s="66">
        <v>0</v>
      </c>
      <c r="F28" s="90">
        <v>-9.3473346163364113E-4</v>
      </c>
      <c r="H28" s="62"/>
      <c r="I28" s="62"/>
      <c r="J28" s="90">
        <f>'[1]Cuota-Pago=Saldo'!AN31</f>
        <v>-9.3473346163364113E-4</v>
      </c>
      <c r="L28"/>
      <c r="M28" s="29">
        <f t="shared" si="0"/>
        <v>0</v>
      </c>
      <c r="N28"/>
      <c r="O28"/>
      <c r="P28"/>
      <c r="Q28"/>
    </row>
    <row r="29" spans="1:17" s="61" customFormat="1" ht="20.100000000000001" customHeight="1" x14ac:dyDescent="0.45">
      <c r="A29" s="63" t="s">
        <v>112</v>
      </c>
      <c r="B29" s="84">
        <v>7</v>
      </c>
      <c r="C29" s="112" t="s">
        <v>4</v>
      </c>
      <c r="D29" s="65">
        <v>203</v>
      </c>
      <c r="E29" s="66">
        <v>0</v>
      </c>
      <c r="F29" s="90">
        <v>-2.8625987192185676E-3</v>
      </c>
      <c r="H29" s="62"/>
      <c r="I29" s="62"/>
      <c r="J29" s="90">
        <f>'[1]Cuota-Pago=Saldo'!AN32</f>
        <v>-2.8625987192185676E-3</v>
      </c>
      <c r="L29"/>
      <c r="M29" s="29">
        <f t="shared" si="0"/>
        <v>0</v>
      </c>
      <c r="N29"/>
      <c r="O29"/>
      <c r="P29"/>
      <c r="Q29"/>
    </row>
    <row r="30" spans="1:17" s="61" customFormat="1" ht="20.100000000000001" customHeight="1" x14ac:dyDescent="0.45">
      <c r="A30" s="69" t="s">
        <v>113</v>
      </c>
      <c r="B30" s="84">
        <v>8</v>
      </c>
      <c r="C30" s="112" t="s">
        <v>4</v>
      </c>
      <c r="D30" s="65">
        <v>204</v>
      </c>
      <c r="E30" s="66">
        <v>0</v>
      </c>
      <c r="F30" s="90">
        <v>-1.5636727629271263E-3</v>
      </c>
      <c r="H30" s="62"/>
      <c r="I30" s="62"/>
      <c r="J30" s="90">
        <f>'[1]Cuota-Pago=Saldo'!AN33</f>
        <v>-1.5636727629271263E-3</v>
      </c>
      <c r="L30"/>
      <c r="M30" s="29">
        <f t="shared" si="0"/>
        <v>0</v>
      </c>
      <c r="N30"/>
      <c r="O30"/>
      <c r="P30"/>
      <c r="Q30"/>
    </row>
    <row r="31" spans="1:17" s="61" customFormat="1" ht="20.100000000000001" customHeight="1" x14ac:dyDescent="0.45">
      <c r="A31" s="63" t="s">
        <v>114</v>
      </c>
      <c r="B31" s="84">
        <v>9</v>
      </c>
      <c r="C31" s="112" t="s">
        <v>4</v>
      </c>
      <c r="D31" s="65">
        <v>301</v>
      </c>
      <c r="E31" s="66">
        <v>0</v>
      </c>
      <c r="F31" s="90">
        <v>330.93692449364312</v>
      </c>
      <c r="H31" s="62"/>
      <c r="I31" s="62"/>
      <c r="J31" s="90">
        <f>'[1]Cuota-Pago=Saldo'!AN34</f>
        <v>330.93692449364312</v>
      </c>
      <c r="L31"/>
      <c r="M31" s="29">
        <f t="shared" si="0"/>
        <v>0</v>
      </c>
      <c r="N31"/>
      <c r="O31"/>
      <c r="P31"/>
      <c r="Q31"/>
    </row>
    <row r="32" spans="1:17" s="61" customFormat="1" ht="20.100000000000001" customHeight="1" x14ac:dyDescent="0.45">
      <c r="A32" s="63" t="s">
        <v>115</v>
      </c>
      <c r="B32" s="84">
        <v>10</v>
      </c>
      <c r="C32" s="112" t="s">
        <v>4</v>
      </c>
      <c r="D32" s="65">
        <v>302</v>
      </c>
      <c r="E32" s="66">
        <v>0</v>
      </c>
      <c r="F32" s="90">
        <v>-4.66225627866379E-3</v>
      </c>
      <c r="H32" s="62"/>
      <c r="I32" s="62"/>
      <c r="J32" s="90">
        <f>'[1]Cuota-Pago=Saldo'!AN35</f>
        <v>-4.66225627866379E-3</v>
      </c>
      <c r="L32"/>
      <c r="M32" s="29">
        <f t="shared" si="0"/>
        <v>0</v>
      </c>
      <c r="N32"/>
      <c r="O32"/>
      <c r="P32"/>
      <c r="Q32"/>
    </row>
    <row r="33" spans="1:17" s="61" customFormat="1" ht="20.100000000000001" customHeight="1" x14ac:dyDescent="0.45">
      <c r="A33" s="63" t="s">
        <v>116</v>
      </c>
      <c r="B33" s="84">
        <v>11</v>
      </c>
      <c r="C33" s="112" t="s">
        <v>4</v>
      </c>
      <c r="D33" s="65">
        <v>303</v>
      </c>
      <c r="E33" s="66">
        <v>0</v>
      </c>
      <c r="F33" s="90">
        <v>-3.0520100016246943E-3</v>
      </c>
      <c r="H33" s="62"/>
      <c r="I33" s="62"/>
      <c r="J33" s="90">
        <f>'[1]Cuota-Pago=Saldo'!AN36</f>
        <v>-3.0520100016246943E-3</v>
      </c>
      <c r="L33"/>
      <c r="M33" s="29">
        <f t="shared" si="0"/>
        <v>0</v>
      </c>
      <c r="N33"/>
      <c r="O33"/>
      <c r="P33"/>
      <c r="Q33"/>
    </row>
    <row r="34" spans="1:17" s="61" customFormat="1" ht="20.100000000000001" customHeight="1" x14ac:dyDescent="0.45">
      <c r="A34" s="63" t="s">
        <v>117</v>
      </c>
      <c r="B34" s="84">
        <v>12</v>
      </c>
      <c r="C34" s="112" t="s">
        <v>4</v>
      </c>
      <c r="D34" s="65">
        <v>304</v>
      </c>
      <c r="E34" s="66">
        <v>0</v>
      </c>
      <c r="F34" s="90">
        <v>2.6341799915030606E-3</v>
      </c>
      <c r="H34" s="62"/>
      <c r="I34" s="62"/>
      <c r="J34" s="90">
        <f>'[1]Cuota-Pago=Saldo'!AN37</f>
        <v>2.6341799915030606E-3</v>
      </c>
      <c r="L34"/>
      <c r="M34" s="29">
        <f t="shared" si="0"/>
        <v>0</v>
      </c>
      <c r="N34"/>
      <c r="O34"/>
      <c r="P34"/>
      <c r="Q34"/>
    </row>
    <row r="35" spans="1:17" s="61" customFormat="1" ht="20.100000000000001" customHeight="1" x14ac:dyDescent="0.45">
      <c r="A35" s="63" t="s">
        <v>118</v>
      </c>
      <c r="B35" s="84">
        <v>13</v>
      </c>
      <c r="C35" s="112" t="s">
        <v>4</v>
      </c>
      <c r="D35" s="65">
        <v>401</v>
      </c>
      <c r="E35" s="66">
        <v>0</v>
      </c>
      <c r="F35" s="90">
        <v>240.13901849267091</v>
      </c>
      <c r="H35" s="62"/>
      <c r="I35" s="62"/>
      <c r="J35" s="90">
        <f>'[1]Cuota-Pago=Saldo'!AN38</f>
        <v>240.13901849267091</v>
      </c>
      <c r="L35"/>
      <c r="M35" s="29">
        <f t="shared" si="0"/>
        <v>0</v>
      </c>
      <c r="N35"/>
      <c r="O35"/>
      <c r="P35"/>
      <c r="Q35"/>
    </row>
    <row r="36" spans="1:17" s="61" customFormat="1" ht="20.100000000000001" customHeight="1" x14ac:dyDescent="0.45">
      <c r="A36" s="63" t="s">
        <v>119</v>
      </c>
      <c r="B36" s="84">
        <v>14</v>
      </c>
      <c r="C36" s="112" t="s">
        <v>4</v>
      </c>
      <c r="D36" s="65">
        <v>402</v>
      </c>
      <c r="E36" s="66">
        <v>0</v>
      </c>
      <c r="F36" s="90">
        <v>1.2648455358367414</v>
      </c>
      <c r="H36" s="62"/>
      <c r="I36" s="62"/>
      <c r="J36" s="90">
        <f>'[1]Cuota-Pago=Saldo'!AN39</f>
        <v>1.2648455358367414</v>
      </c>
      <c r="L36"/>
      <c r="M36" s="29">
        <f t="shared" si="0"/>
        <v>0</v>
      </c>
      <c r="N36"/>
      <c r="O36"/>
      <c r="P36"/>
      <c r="Q36"/>
    </row>
    <row r="37" spans="1:17" s="61" customFormat="1" ht="20.100000000000001" customHeight="1" x14ac:dyDescent="0.45">
      <c r="A37" s="69" t="s">
        <v>120</v>
      </c>
      <c r="B37" s="84">
        <v>15</v>
      </c>
      <c r="C37" s="112" t="s">
        <v>4</v>
      </c>
      <c r="D37" s="71">
        <v>403</v>
      </c>
      <c r="E37" s="66">
        <v>0</v>
      </c>
      <c r="F37" s="90">
        <v>0.15272297868335727</v>
      </c>
      <c r="H37" s="62"/>
      <c r="I37" s="62"/>
      <c r="J37" s="90">
        <f>'[1]Cuota-Pago=Saldo'!AN40</f>
        <v>0.15272297868335727</v>
      </c>
      <c r="L37"/>
      <c r="M37" s="29">
        <f t="shared" si="0"/>
        <v>0</v>
      </c>
      <c r="N37"/>
      <c r="O37"/>
      <c r="P37"/>
      <c r="Q37"/>
    </row>
    <row r="38" spans="1:17" s="61" customFormat="1" ht="20.100000000000001" customHeight="1" x14ac:dyDescent="0.45">
      <c r="A38" s="69" t="s">
        <v>121</v>
      </c>
      <c r="B38" s="84">
        <v>16</v>
      </c>
      <c r="C38" s="112" t="s">
        <v>4</v>
      </c>
      <c r="D38" s="65">
        <v>404</v>
      </c>
      <c r="E38" s="66">
        <v>0</v>
      </c>
      <c r="F38" s="90">
        <v>3.5353809061007269E-3</v>
      </c>
      <c r="H38" s="62"/>
      <c r="I38" s="62"/>
      <c r="J38" s="90">
        <f>'[1]Cuota-Pago=Saldo'!AN41</f>
        <v>3.5353809061007269E-3</v>
      </c>
      <c r="L38"/>
      <c r="M38" s="29">
        <f t="shared" si="0"/>
        <v>0</v>
      </c>
      <c r="N38"/>
      <c r="O38"/>
      <c r="P38"/>
      <c r="Q38"/>
    </row>
    <row r="39" spans="1:17" s="61" customFormat="1" ht="20.100000000000001" customHeight="1" x14ac:dyDescent="0.45">
      <c r="A39" s="69" t="s">
        <v>122</v>
      </c>
      <c r="B39" s="84">
        <v>17</v>
      </c>
      <c r="C39" s="112" t="s">
        <v>4</v>
      </c>
      <c r="D39" s="65">
        <v>501</v>
      </c>
      <c r="E39" s="66">
        <v>0</v>
      </c>
      <c r="F39" s="90">
        <v>457.057794565032</v>
      </c>
      <c r="H39" s="62"/>
      <c r="I39" s="62"/>
      <c r="J39" s="90">
        <f>'[1]Cuota-Pago=Saldo'!AN42</f>
        <v>457.057794565032</v>
      </c>
      <c r="L39"/>
      <c r="M39" s="29">
        <f t="shared" si="0"/>
        <v>0</v>
      </c>
      <c r="N39"/>
      <c r="O39"/>
      <c r="P39"/>
      <c r="Q39"/>
    </row>
    <row r="40" spans="1:17" s="61" customFormat="1" ht="20.100000000000001" customHeight="1" x14ac:dyDescent="0.45">
      <c r="A40" s="69" t="s">
        <v>123</v>
      </c>
      <c r="B40" s="84">
        <v>18</v>
      </c>
      <c r="C40" s="112" t="s">
        <v>4</v>
      </c>
      <c r="D40" s="65">
        <v>502</v>
      </c>
      <c r="E40" s="66">
        <v>0</v>
      </c>
      <c r="F40" s="90">
        <v>296.664909392872</v>
      </c>
      <c r="H40" s="62"/>
      <c r="I40" s="62"/>
      <c r="J40" s="90">
        <f>'[1]Cuota-Pago=Saldo'!AN43</f>
        <v>296.664909392872</v>
      </c>
      <c r="L40"/>
      <c r="M40" s="29">
        <f t="shared" si="0"/>
        <v>0</v>
      </c>
      <c r="N40"/>
      <c r="O40"/>
      <c r="P40"/>
      <c r="Q40"/>
    </row>
    <row r="41" spans="1:17" s="61" customFormat="1" ht="20.100000000000001" customHeight="1" x14ac:dyDescent="0.45">
      <c r="A41" s="69" t="s">
        <v>124</v>
      </c>
      <c r="B41" s="84">
        <v>19</v>
      </c>
      <c r="C41" s="112" t="s">
        <v>4</v>
      </c>
      <c r="D41" s="65">
        <v>503</v>
      </c>
      <c r="E41" s="66">
        <v>0</v>
      </c>
      <c r="F41" s="90">
        <v>1.1745470208097686E-3</v>
      </c>
      <c r="H41" s="62"/>
      <c r="I41" s="62"/>
      <c r="J41" s="90">
        <f>'[1]Cuota-Pago=Saldo'!AN44</f>
        <v>1.1745470208097686E-3</v>
      </c>
      <c r="L41"/>
      <c r="M41" s="29">
        <f t="shared" si="0"/>
        <v>0</v>
      </c>
      <c r="N41"/>
      <c r="O41"/>
      <c r="P41"/>
      <c r="Q41"/>
    </row>
    <row r="42" spans="1:17" ht="20.100000000000001" customHeight="1" x14ac:dyDescent="0.45">
      <c r="A42" s="63" t="s">
        <v>125</v>
      </c>
      <c r="B42" s="84">
        <v>20</v>
      </c>
      <c r="C42" s="112" t="s">
        <v>4</v>
      </c>
      <c r="D42" s="73">
        <v>504</v>
      </c>
      <c r="E42" s="66">
        <v>0</v>
      </c>
      <c r="F42" s="90">
        <v>-3.6066011149387123E-3</v>
      </c>
      <c r="J42" s="90">
        <f>'[1]Cuota-Pago=Saldo'!AN45</f>
        <v>-3.6066011149387123E-3</v>
      </c>
      <c r="M42" s="29">
        <f t="shared" si="0"/>
        <v>0</v>
      </c>
    </row>
    <row r="43" spans="1:17" ht="20.100000000000001" customHeight="1" x14ac:dyDescent="0.45">
      <c r="A43" s="69" t="s">
        <v>126</v>
      </c>
      <c r="B43" s="64">
        <v>1</v>
      </c>
      <c r="C43" s="112" t="s">
        <v>5</v>
      </c>
      <c r="D43" s="65">
        <v>101</v>
      </c>
      <c r="E43" s="66">
        <v>0</v>
      </c>
      <c r="F43" s="90">
        <v>3.0028119145051164</v>
      </c>
      <c r="I43" s="67"/>
      <c r="J43" s="90">
        <f>'[1]Cuota-Pago=Saldo'!AN46</f>
        <v>3.0028119145051164</v>
      </c>
      <c r="M43" s="29">
        <f t="shared" si="0"/>
        <v>0</v>
      </c>
    </row>
    <row r="44" spans="1:17" ht="20.100000000000001" customHeight="1" x14ac:dyDescent="0.45">
      <c r="A44" s="69" t="s">
        <v>127</v>
      </c>
      <c r="B44" s="64">
        <v>2</v>
      </c>
      <c r="C44" s="112" t="s">
        <v>5</v>
      </c>
      <c r="D44" s="65">
        <v>102</v>
      </c>
      <c r="E44" s="66">
        <v>0</v>
      </c>
      <c r="F44" s="90">
        <v>-3.7526920834807242E-4</v>
      </c>
      <c r="I44" s="68"/>
      <c r="J44" s="90">
        <f>'[1]Cuota-Pago=Saldo'!AN47</f>
        <v>-3.7526920834807242E-4</v>
      </c>
      <c r="M44" s="29">
        <f t="shared" si="0"/>
        <v>0</v>
      </c>
    </row>
    <row r="45" spans="1:17" ht="20.100000000000001" customHeight="1" x14ac:dyDescent="0.45">
      <c r="A45" s="69" t="s">
        <v>128</v>
      </c>
      <c r="B45" s="64">
        <v>3</v>
      </c>
      <c r="C45" s="112" t="s">
        <v>5</v>
      </c>
      <c r="D45" s="65">
        <v>103</v>
      </c>
      <c r="E45" s="66">
        <v>0</v>
      </c>
      <c r="F45" s="90">
        <v>4.2449421673609322E-3</v>
      </c>
      <c r="I45" s="67"/>
      <c r="J45" s="90">
        <f>'[1]Cuota-Pago=Saldo'!AN48</f>
        <v>4.2449421673609322E-3</v>
      </c>
      <c r="M45" s="29">
        <f t="shared" si="0"/>
        <v>0</v>
      </c>
    </row>
    <row r="46" spans="1:17" ht="20.100000000000001" customHeight="1" x14ac:dyDescent="0.45">
      <c r="A46" s="63" t="s">
        <v>129</v>
      </c>
      <c r="B46" s="64">
        <v>4</v>
      </c>
      <c r="C46" s="112" t="s">
        <v>5</v>
      </c>
      <c r="D46" s="65">
        <v>104</v>
      </c>
      <c r="E46" s="66">
        <v>0</v>
      </c>
      <c r="F46" s="90">
        <v>452.19139552267637</v>
      </c>
      <c r="J46" s="90">
        <f>'[1]Cuota-Pago=Saldo'!AN49</f>
        <v>452.19139552267637</v>
      </c>
      <c r="M46" s="29">
        <f t="shared" si="0"/>
        <v>0</v>
      </c>
    </row>
    <row r="47" spans="1:17" ht="20.100000000000001" customHeight="1" x14ac:dyDescent="0.45">
      <c r="A47" s="63" t="s">
        <v>130</v>
      </c>
      <c r="B47" s="64">
        <v>5</v>
      </c>
      <c r="C47" s="112" t="s">
        <v>5</v>
      </c>
      <c r="D47" s="65">
        <v>201</v>
      </c>
      <c r="E47" s="66">
        <v>0</v>
      </c>
      <c r="F47" s="90">
        <v>-1.415712564551086E-3</v>
      </c>
      <c r="J47" s="90">
        <f>'[1]Cuota-Pago=Saldo'!AN50</f>
        <v>-1.415712564551086E-3</v>
      </c>
      <c r="M47" s="29">
        <f t="shared" si="0"/>
        <v>0</v>
      </c>
    </row>
    <row r="48" spans="1:17" ht="20.100000000000001" customHeight="1" x14ac:dyDescent="0.45">
      <c r="A48" s="69" t="s">
        <v>131</v>
      </c>
      <c r="B48" s="64">
        <v>6</v>
      </c>
      <c r="C48" s="112" t="s">
        <v>5</v>
      </c>
      <c r="D48" s="65">
        <v>202</v>
      </c>
      <c r="E48" s="66">
        <v>0</v>
      </c>
      <c r="F48" s="90">
        <v>287.67826712869874</v>
      </c>
      <c r="J48" s="90">
        <f>'[1]Cuota-Pago=Saldo'!AN51</f>
        <v>287.67826712869874</v>
      </c>
      <c r="M48" s="29">
        <f t="shared" si="0"/>
        <v>0</v>
      </c>
    </row>
    <row r="49" spans="1:13" ht="20.100000000000001" customHeight="1" x14ac:dyDescent="0.45">
      <c r="A49" s="63" t="s">
        <v>132</v>
      </c>
      <c r="B49" s="64">
        <v>7</v>
      </c>
      <c r="C49" s="112" t="s">
        <v>5</v>
      </c>
      <c r="D49" s="65">
        <v>203</v>
      </c>
      <c r="E49" s="66">
        <v>0</v>
      </c>
      <c r="F49" s="90">
        <v>-2.6792251182428117E-3</v>
      </c>
      <c r="J49" s="90">
        <f>'[1]Cuota-Pago=Saldo'!AN52</f>
        <v>-2.6792251182428117E-3</v>
      </c>
      <c r="M49" s="29">
        <f t="shared" si="0"/>
        <v>0</v>
      </c>
    </row>
    <row r="50" spans="1:13" ht="20.100000000000001" customHeight="1" x14ac:dyDescent="0.45">
      <c r="A50" s="69" t="s">
        <v>133</v>
      </c>
      <c r="B50" s="64">
        <v>8</v>
      </c>
      <c r="C50" s="112" t="s">
        <v>5</v>
      </c>
      <c r="D50" s="65">
        <v>204</v>
      </c>
      <c r="E50" s="66">
        <v>0</v>
      </c>
      <c r="F50" s="90">
        <v>-4.0441290295234467E-3</v>
      </c>
      <c r="J50" s="90">
        <f>'[1]Cuota-Pago=Saldo'!AN53</f>
        <v>-4.0441290295234467E-3</v>
      </c>
      <c r="M50" s="29">
        <f t="shared" si="0"/>
        <v>0</v>
      </c>
    </row>
    <row r="51" spans="1:13" ht="20.100000000000001" customHeight="1" x14ac:dyDescent="0.45">
      <c r="A51" s="69" t="s">
        <v>134</v>
      </c>
      <c r="B51" s="64">
        <v>9</v>
      </c>
      <c r="C51" s="112" t="s">
        <v>5</v>
      </c>
      <c r="D51" s="65">
        <v>301</v>
      </c>
      <c r="E51" s="66">
        <v>0</v>
      </c>
      <c r="F51" s="90">
        <v>2.6077327453322141E-3</v>
      </c>
      <c r="J51" s="90">
        <f>'[1]Cuota-Pago=Saldo'!AN54</f>
        <v>2.6077327453322141E-3</v>
      </c>
      <c r="M51" s="29">
        <f t="shared" si="0"/>
        <v>0</v>
      </c>
    </row>
    <row r="52" spans="1:13" ht="20.100000000000001" customHeight="1" x14ac:dyDescent="0.45">
      <c r="A52" s="69" t="s">
        <v>135</v>
      </c>
      <c r="B52" s="64">
        <v>10</v>
      </c>
      <c r="C52" s="112" t="s">
        <v>5</v>
      </c>
      <c r="D52" s="65">
        <v>302</v>
      </c>
      <c r="E52" s="66">
        <v>0</v>
      </c>
      <c r="F52" s="90">
        <v>-4.6133060295687756E-3</v>
      </c>
      <c r="J52" s="90">
        <f>'[1]Cuota-Pago=Saldo'!AN55</f>
        <v>-4.6133060295687756E-3</v>
      </c>
      <c r="M52" s="29">
        <f t="shared" si="0"/>
        <v>0</v>
      </c>
    </row>
    <row r="53" spans="1:13" ht="20.100000000000001" customHeight="1" x14ac:dyDescent="0.45">
      <c r="A53" s="69" t="s">
        <v>136</v>
      </c>
      <c r="B53" s="64">
        <v>11</v>
      </c>
      <c r="C53" s="112" t="s">
        <v>5</v>
      </c>
      <c r="D53" s="65">
        <v>303</v>
      </c>
      <c r="E53" s="66">
        <v>0</v>
      </c>
      <c r="F53" s="90">
        <v>0.96589833984279494</v>
      </c>
      <c r="J53" s="90">
        <f>'[1]Cuota-Pago=Saldo'!AN56</f>
        <v>0.96589833984279494</v>
      </c>
      <c r="M53" s="29">
        <f t="shared" si="0"/>
        <v>0</v>
      </c>
    </row>
    <row r="54" spans="1:13" ht="20.100000000000001" customHeight="1" x14ac:dyDescent="0.45">
      <c r="A54" s="69" t="s">
        <v>137</v>
      </c>
      <c r="B54" s="64">
        <v>12</v>
      </c>
      <c r="C54" s="112" t="s">
        <v>5</v>
      </c>
      <c r="D54" s="65">
        <v>304</v>
      </c>
      <c r="E54" s="66">
        <v>0</v>
      </c>
      <c r="F54" s="90">
        <v>-3.6390197134892333E-3</v>
      </c>
      <c r="J54" s="90">
        <f>'[1]Cuota-Pago=Saldo'!AN57</f>
        <v>-3.6390197134892333E-3</v>
      </c>
      <c r="M54" s="29">
        <f t="shared" si="0"/>
        <v>0</v>
      </c>
    </row>
    <row r="55" spans="1:13" ht="20.100000000000001" customHeight="1" x14ac:dyDescent="0.45">
      <c r="A55" s="69" t="s">
        <v>138</v>
      </c>
      <c r="B55" s="64">
        <v>13</v>
      </c>
      <c r="C55" s="112" t="s">
        <v>5</v>
      </c>
      <c r="D55" s="65">
        <v>401</v>
      </c>
      <c r="E55" s="66">
        <v>0</v>
      </c>
      <c r="F55" s="90">
        <v>3.9206867192547179E-3</v>
      </c>
      <c r="J55" s="90">
        <f>'[1]Cuota-Pago=Saldo'!AN58</f>
        <v>3.9206867192547179E-3</v>
      </c>
      <c r="M55" s="29">
        <f t="shared" si="0"/>
        <v>0</v>
      </c>
    </row>
    <row r="56" spans="1:13" ht="20.100000000000001" customHeight="1" x14ac:dyDescent="0.45">
      <c r="A56" s="63" t="s">
        <v>139</v>
      </c>
      <c r="B56" s="64">
        <v>14</v>
      </c>
      <c r="C56" s="112" t="s">
        <v>5</v>
      </c>
      <c r="D56" s="65">
        <v>402</v>
      </c>
      <c r="E56" s="66">
        <v>0</v>
      </c>
      <c r="F56" s="90">
        <v>-3.2056935035598144E-3</v>
      </c>
      <c r="J56" s="90">
        <f>'[1]Cuota-Pago=Saldo'!AN59</f>
        <v>-3.2056935035598144E-3</v>
      </c>
      <c r="M56" s="29">
        <f t="shared" si="0"/>
        <v>0</v>
      </c>
    </row>
    <row r="57" spans="1:13" ht="20.100000000000001" customHeight="1" x14ac:dyDescent="0.45">
      <c r="A57" s="69" t="s">
        <v>140</v>
      </c>
      <c r="B57" s="64">
        <v>15</v>
      </c>
      <c r="C57" s="112" t="s">
        <v>5</v>
      </c>
      <c r="D57" s="71">
        <v>403</v>
      </c>
      <c r="E57" s="66">
        <v>0</v>
      </c>
      <c r="F57" s="90">
        <v>318.90410148595424</v>
      </c>
      <c r="J57" s="90">
        <f>'[1]Cuota-Pago=Saldo'!AN60</f>
        <v>318.90410148595424</v>
      </c>
      <c r="M57" s="29">
        <f t="shared" si="0"/>
        <v>0</v>
      </c>
    </row>
    <row r="58" spans="1:13" ht="20.100000000000001" customHeight="1" x14ac:dyDescent="0.45">
      <c r="A58" s="69" t="s">
        <v>141</v>
      </c>
      <c r="B58" s="64">
        <v>16</v>
      </c>
      <c r="C58" s="112" t="s">
        <v>5</v>
      </c>
      <c r="D58" s="65">
        <v>404</v>
      </c>
      <c r="E58" s="66">
        <v>0</v>
      </c>
      <c r="F58" s="90">
        <v>18.796408122119715</v>
      </c>
      <c r="J58" s="90">
        <f>'[1]Cuota-Pago=Saldo'!AN61</f>
        <v>18.796408122119715</v>
      </c>
      <c r="M58" s="29">
        <f t="shared" si="0"/>
        <v>0</v>
      </c>
    </row>
    <row r="59" spans="1:13" ht="20.100000000000001" customHeight="1" x14ac:dyDescent="0.45">
      <c r="A59" s="69" t="s">
        <v>142</v>
      </c>
      <c r="B59" s="64">
        <v>17</v>
      </c>
      <c r="C59" s="112" t="s">
        <v>5</v>
      </c>
      <c r="D59" s="65">
        <v>501</v>
      </c>
      <c r="E59" s="66">
        <v>0</v>
      </c>
      <c r="F59" s="90">
        <v>-4.4671758651588789E-3</v>
      </c>
      <c r="J59" s="90">
        <f>'[1]Cuota-Pago=Saldo'!AN62</f>
        <v>-4.4671758651588789E-3</v>
      </c>
      <c r="M59" s="29">
        <f t="shared" si="0"/>
        <v>0</v>
      </c>
    </row>
    <row r="60" spans="1:13" ht="20.100000000000001" customHeight="1" x14ac:dyDescent="0.45">
      <c r="A60" s="63" t="s">
        <v>143</v>
      </c>
      <c r="B60" s="64">
        <v>18</v>
      </c>
      <c r="C60" s="112" t="s">
        <v>5</v>
      </c>
      <c r="D60" s="65">
        <v>502</v>
      </c>
      <c r="E60" s="66">
        <v>0</v>
      </c>
      <c r="F60" s="90">
        <v>9.3718937307471606E-2</v>
      </c>
      <c r="J60" s="90">
        <f>'[1]Cuota-Pago=Saldo'!AN63</f>
        <v>9.3718937307471606E-2</v>
      </c>
      <c r="M60" s="29">
        <f t="shared" si="0"/>
        <v>0</v>
      </c>
    </row>
    <row r="61" spans="1:13" ht="20.100000000000001" customHeight="1" x14ac:dyDescent="0.45">
      <c r="A61" s="69" t="s">
        <v>144</v>
      </c>
      <c r="B61" s="64">
        <v>19</v>
      </c>
      <c r="C61" s="112" t="s">
        <v>5</v>
      </c>
      <c r="D61" s="65">
        <v>503</v>
      </c>
      <c r="E61" s="66">
        <v>0</v>
      </c>
      <c r="F61" s="90">
        <v>95.904758887162529</v>
      </c>
      <c r="J61" s="90">
        <f>'[1]Cuota-Pago=Saldo'!AN64</f>
        <v>95.904758887162529</v>
      </c>
      <c r="M61" s="29">
        <f t="shared" si="0"/>
        <v>0</v>
      </c>
    </row>
    <row r="62" spans="1:13" ht="20.100000000000001" customHeight="1" x14ac:dyDescent="0.45">
      <c r="A62" s="74" t="s">
        <v>145</v>
      </c>
      <c r="B62" s="64">
        <v>20</v>
      </c>
      <c r="C62" s="112" t="s">
        <v>5</v>
      </c>
      <c r="D62" s="65">
        <v>504</v>
      </c>
      <c r="E62" s="66">
        <v>0</v>
      </c>
      <c r="F62" s="90">
        <v>-3.8380382550258219E-3</v>
      </c>
      <c r="J62" s="90">
        <f>'[1]Cuota-Pago=Saldo'!AN65</f>
        <v>-3.8380382550258219E-3</v>
      </c>
      <c r="M62" s="29">
        <f t="shared" si="0"/>
        <v>0</v>
      </c>
    </row>
    <row r="63" spans="1:13" ht="20.100000000000001" customHeight="1" x14ac:dyDescent="0.45">
      <c r="A63" s="69" t="s">
        <v>146</v>
      </c>
      <c r="B63" s="84">
        <v>1</v>
      </c>
      <c r="C63" s="112" t="s">
        <v>6</v>
      </c>
      <c r="D63" s="65">
        <v>101</v>
      </c>
      <c r="E63" s="66">
        <v>0</v>
      </c>
      <c r="F63" s="90">
        <v>-2.4000201545391064E-3</v>
      </c>
      <c r="I63" s="67"/>
      <c r="J63" s="90">
        <f>'[1]Cuota-Pago=Saldo'!AN66</f>
        <v>-2.4000201545391064E-3</v>
      </c>
      <c r="M63" s="29">
        <f t="shared" si="0"/>
        <v>0</v>
      </c>
    </row>
    <row r="64" spans="1:13" ht="20.100000000000001" customHeight="1" x14ac:dyDescent="0.45">
      <c r="A64" s="69" t="s">
        <v>147</v>
      </c>
      <c r="B64" s="84">
        <v>2</v>
      </c>
      <c r="C64" s="112" t="s">
        <v>6</v>
      </c>
      <c r="D64" s="65">
        <v>102</v>
      </c>
      <c r="E64" s="66">
        <v>0</v>
      </c>
      <c r="F64" s="90">
        <v>0.37146416809781613</v>
      </c>
      <c r="I64" s="68"/>
      <c r="J64" s="90">
        <f>'[1]Cuota-Pago=Saldo'!AN67</f>
        <v>0.37146416809781613</v>
      </c>
      <c r="M64" s="29">
        <f t="shared" si="0"/>
        <v>0</v>
      </c>
    </row>
    <row r="65" spans="1:17" ht="20.100000000000001" customHeight="1" x14ac:dyDescent="0.45">
      <c r="A65" s="69" t="s">
        <v>148</v>
      </c>
      <c r="B65" s="84">
        <v>3</v>
      </c>
      <c r="C65" s="112" t="s">
        <v>6</v>
      </c>
      <c r="D65" s="65">
        <v>103</v>
      </c>
      <c r="E65" s="66">
        <v>0</v>
      </c>
      <c r="F65" s="90">
        <v>109.52677878596296</v>
      </c>
      <c r="I65" s="67"/>
      <c r="J65" s="90">
        <f>'[1]Cuota-Pago=Saldo'!AN68</f>
        <v>109.52677878596296</v>
      </c>
      <c r="M65" s="29">
        <f t="shared" si="0"/>
        <v>0</v>
      </c>
    </row>
    <row r="66" spans="1:17" ht="20.100000000000001" customHeight="1" x14ac:dyDescent="0.45">
      <c r="A66" s="69" t="s">
        <v>149</v>
      </c>
      <c r="B66" s="84">
        <v>4</v>
      </c>
      <c r="C66" s="112" t="s">
        <v>6</v>
      </c>
      <c r="D66" s="65">
        <v>104</v>
      </c>
      <c r="E66" s="66">
        <v>0</v>
      </c>
      <c r="F66" s="90">
        <v>33.799934262694649</v>
      </c>
      <c r="J66" s="90">
        <f>'[1]Cuota-Pago=Saldo'!AN69</f>
        <v>33.799934262694649</v>
      </c>
      <c r="M66" s="29">
        <f t="shared" si="0"/>
        <v>0</v>
      </c>
    </row>
    <row r="67" spans="1:17" ht="20.100000000000001" customHeight="1" x14ac:dyDescent="0.45">
      <c r="A67" s="69" t="s">
        <v>150</v>
      </c>
      <c r="B67" s="84">
        <v>5</v>
      </c>
      <c r="C67" s="112" t="s">
        <v>6</v>
      </c>
      <c r="D67" s="65">
        <v>201</v>
      </c>
      <c r="E67" s="66">
        <v>0</v>
      </c>
      <c r="F67" s="90">
        <v>1.4294721241299158E-3</v>
      </c>
      <c r="J67" s="90">
        <f>'[1]Cuota-Pago=Saldo'!AN70</f>
        <v>1.4294721241299158E-3</v>
      </c>
      <c r="M67" s="29">
        <f t="shared" si="0"/>
        <v>0</v>
      </c>
    </row>
    <row r="68" spans="1:17" s="61" customFormat="1" ht="20.100000000000001" customHeight="1" x14ac:dyDescent="0.45">
      <c r="A68" s="69" t="s">
        <v>151</v>
      </c>
      <c r="B68" s="84">
        <v>6</v>
      </c>
      <c r="C68" s="112" t="s">
        <v>6</v>
      </c>
      <c r="D68" s="65">
        <v>202</v>
      </c>
      <c r="E68" s="66">
        <v>0</v>
      </c>
      <c r="F68" s="90">
        <v>5.1682093271665508E-5</v>
      </c>
      <c r="H68" s="62"/>
      <c r="I68" s="62"/>
      <c r="J68" s="90">
        <f>'[1]Cuota-Pago=Saldo'!AN71</f>
        <v>5.1682093271665508E-5</v>
      </c>
      <c r="L68"/>
      <c r="M68" s="29">
        <f>SUM(J68,-F68)</f>
        <v>0</v>
      </c>
      <c r="N68"/>
      <c r="O68"/>
      <c r="P68"/>
      <c r="Q68"/>
    </row>
    <row r="69" spans="1:17" s="61" customFormat="1" ht="20.100000000000001" customHeight="1" x14ac:dyDescent="0.45">
      <c r="A69" s="63" t="s">
        <v>152</v>
      </c>
      <c r="B69" s="84">
        <v>7</v>
      </c>
      <c r="C69" s="112" t="s">
        <v>6</v>
      </c>
      <c r="D69" s="65">
        <v>203</v>
      </c>
      <c r="E69" s="66">
        <v>0</v>
      </c>
      <c r="F69" s="90">
        <v>4.0148060541014274E-3</v>
      </c>
      <c r="H69" s="62"/>
      <c r="I69" s="62"/>
      <c r="J69" s="90">
        <f>'[1]Cuota-Pago=Saldo'!AN72</f>
        <v>4.0148060541014274E-3</v>
      </c>
      <c r="L69"/>
      <c r="M69" s="29">
        <f t="shared" ref="M69:M131" si="1">SUM(J69,-F69)</f>
        <v>0</v>
      </c>
      <c r="N69"/>
      <c r="O69"/>
      <c r="P69"/>
      <c r="Q69"/>
    </row>
    <row r="70" spans="1:17" s="61" customFormat="1" ht="20.100000000000001" customHeight="1" x14ac:dyDescent="0.45">
      <c r="A70" s="63" t="s">
        <v>153</v>
      </c>
      <c r="B70" s="84">
        <v>8</v>
      </c>
      <c r="C70" s="112" t="s">
        <v>6</v>
      </c>
      <c r="D70" s="65">
        <v>204</v>
      </c>
      <c r="E70" s="66">
        <v>0</v>
      </c>
      <c r="F70" s="90">
        <v>1.3741052795467112E-2</v>
      </c>
      <c r="H70" s="62"/>
      <c r="I70" s="62"/>
      <c r="J70" s="90">
        <f>'[1]Cuota-Pago=Saldo'!AN73</f>
        <v>1.3741052795467112E-2</v>
      </c>
      <c r="L70"/>
      <c r="M70" s="29">
        <f t="shared" si="1"/>
        <v>0</v>
      </c>
      <c r="N70"/>
      <c r="O70"/>
      <c r="P70"/>
      <c r="Q70"/>
    </row>
    <row r="71" spans="1:17" s="61" customFormat="1" ht="20.100000000000001" customHeight="1" x14ac:dyDescent="0.45">
      <c r="A71" s="63" t="s">
        <v>154</v>
      </c>
      <c r="B71" s="84">
        <v>9</v>
      </c>
      <c r="C71" s="112" t="s">
        <v>6</v>
      </c>
      <c r="D71" s="65">
        <v>301</v>
      </c>
      <c r="E71" s="66">
        <v>0</v>
      </c>
      <c r="F71" s="90">
        <v>-6.3431359455989877E-4</v>
      </c>
      <c r="H71" s="62"/>
      <c r="I71" s="62"/>
      <c r="J71" s="90">
        <f>'[1]Cuota-Pago=Saldo'!AN74</f>
        <v>-6.3431359455989877E-4</v>
      </c>
      <c r="L71"/>
      <c r="M71" s="29">
        <f t="shared" si="1"/>
        <v>0</v>
      </c>
      <c r="N71"/>
      <c r="O71"/>
      <c r="P71"/>
      <c r="Q71"/>
    </row>
    <row r="72" spans="1:17" s="61" customFormat="1" ht="20.100000000000001" customHeight="1" x14ac:dyDescent="0.45">
      <c r="A72" s="69" t="s">
        <v>155</v>
      </c>
      <c r="B72" s="84">
        <v>10</v>
      </c>
      <c r="C72" s="112" t="s">
        <v>6</v>
      </c>
      <c r="D72" s="65">
        <v>302</v>
      </c>
      <c r="E72" s="66">
        <v>0</v>
      </c>
      <c r="F72" s="90">
        <v>2.0236213663338276E-4</v>
      </c>
      <c r="H72" s="62"/>
      <c r="I72" s="62"/>
      <c r="J72" s="90">
        <f>'[1]Cuota-Pago=Saldo'!AN75</f>
        <v>2.0236213663338276E-4</v>
      </c>
      <c r="L72"/>
      <c r="M72" s="29">
        <f t="shared" si="1"/>
        <v>0</v>
      </c>
      <c r="N72"/>
      <c r="O72"/>
      <c r="P72"/>
      <c r="Q72"/>
    </row>
    <row r="73" spans="1:17" s="61" customFormat="1" ht="20.100000000000001" customHeight="1" x14ac:dyDescent="0.45">
      <c r="A73" s="69" t="s">
        <v>156</v>
      </c>
      <c r="B73" s="84">
        <v>11</v>
      </c>
      <c r="C73" s="112" t="s">
        <v>6</v>
      </c>
      <c r="D73" s="65">
        <v>303</v>
      </c>
      <c r="E73" s="66">
        <v>0</v>
      </c>
      <c r="F73" s="90">
        <v>-1.8328119293755663E-3</v>
      </c>
      <c r="H73" s="62"/>
      <c r="I73" s="62"/>
      <c r="J73" s="90">
        <f>'[1]Cuota-Pago=Saldo'!AN76</f>
        <v>-1.8328119293755663E-3</v>
      </c>
      <c r="L73"/>
      <c r="M73" s="29">
        <f t="shared" si="1"/>
        <v>0</v>
      </c>
      <c r="N73"/>
      <c r="O73"/>
      <c r="P73"/>
      <c r="Q73"/>
    </row>
    <row r="74" spans="1:17" s="61" customFormat="1" ht="20.100000000000001" customHeight="1" x14ac:dyDescent="0.45">
      <c r="A74" s="69" t="s">
        <v>157</v>
      </c>
      <c r="B74" s="84">
        <v>12</v>
      </c>
      <c r="C74" s="112" t="s">
        <v>6</v>
      </c>
      <c r="D74" s="65">
        <v>304</v>
      </c>
      <c r="E74" s="66">
        <v>0</v>
      </c>
      <c r="F74" s="90">
        <v>315.86867112391161</v>
      </c>
      <c r="H74" s="62"/>
      <c r="I74" s="62"/>
      <c r="J74" s="90">
        <f>'[1]Cuota-Pago=Saldo'!AN77</f>
        <v>315.86867112391161</v>
      </c>
      <c r="L74"/>
      <c r="M74" s="29">
        <f t="shared" si="1"/>
        <v>0</v>
      </c>
      <c r="N74"/>
      <c r="O74"/>
      <c r="P74"/>
      <c r="Q74"/>
    </row>
    <row r="75" spans="1:17" s="61" customFormat="1" ht="20.100000000000001" customHeight="1" x14ac:dyDescent="0.45">
      <c r="A75" s="63" t="s">
        <v>158</v>
      </c>
      <c r="B75" s="84">
        <v>13</v>
      </c>
      <c r="C75" s="112" t="s">
        <v>6</v>
      </c>
      <c r="D75" s="65">
        <v>401</v>
      </c>
      <c r="E75" s="66">
        <v>0</v>
      </c>
      <c r="F75" s="90">
        <v>-4.6279709206373809E-3</v>
      </c>
      <c r="H75" s="62"/>
      <c r="I75" s="62"/>
      <c r="J75" s="90">
        <f>'[1]Cuota-Pago=Saldo'!AN78</f>
        <v>-4.6279709206373809E-3</v>
      </c>
      <c r="L75"/>
      <c r="M75" s="29">
        <f t="shared" si="1"/>
        <v>0</v>
      </c>
      <c r="N75"/>
      <c r="O75"/>
      <c r="P75"/>
      <c r="Q75"/>
    </row>
    <row r="76" spans="1:17" s="61" customFormat="1" ht="20.100000000000001" customHeight="1" x14ac:dyDescent="0.45">
      <c r="A76" s="69" t="s">
        <v>159</v>
      </c>
      <c r="B76" s="84">
        <v>14</v>
      </c>
      <c r="C76" s="112" t="s">
        <v>6</v>
      </c>
      <c r="D76" s="65">
        <v>402</v>
      </c>
      <c r="E76" s="66">
        <v>0</v>
      </c>
      <c r="F76" s="90">
        <v>43.043363670247174</v>
      </c>
      <c r="H76" s="62"/>
      <c r="I76" s="62"/>
      <c r="J76" s="90">
        <f>'[1]Cuota-Pago=Saldo'!AN79</f>
        <v>43.043363670247174</v>
      </c>
      <c r="L76"/>
      <c r="M76" s="29">
        <f t="shared" si="1"/>
        <v>0</v>
      </c>
      <c r="N76"/>
      <c r="O76"/>
      <c r="P76"/>
      <c r="Q76"/>
    </row>
    <row r="77" spans="1:17" s="61" customFormat="1" ht="20.100000000000001" customHeight="1" x14ac:dyDescent="0.45">
      <c r="A77" s="75" t="s">
        <v>160</v>
      </c>
      <c r="B77" s="84">
        <v>15</v>
      </c>
      <c r="C77" s="112" t="s">
        <v>6</v>
      </c>
      <c r="D77" s="71">
        <v>403</v>
      </c>
      <c r="E77" s="66">
        <v>0</v>
      </c>
      <c r="F77" s="90">
        <v>1.2699203419401783E-3</v>
      </c>
      <c r="H77" s="62"/>
      <c r="I77" s="62"/>
      <c r="J77" s="90">
        <f>'[1]Cuota-Pago=Saldo'!AN80</f>
        <v>1.2699203419401783E-3</v>
      </c>
      <c r="L77"/>
      <c r="M77" s="29">
        <f t="shared" si="1"/>
        <v>0</v>
      </c>
      <c r="N77"/>
      <c r="O77"/>
      <c r="P77"/>
      <c r="Q77"/>
    </row>
    <row r="78" spans="1:17" s="61" customFormat="1" ht="20.100000000000001" customHeight="1" x14ac:dyDescent="0.45">
      <c r="A78" s="63" t="s">
        <v>161</v>
      </c>
      <c r="B78" s="84">
        <v>16</v>
      </c>
      <c r="C78" s="112" t="s">
        <v>6</v>
      </c>
      <c r="D78" s="65">
        <v>404</v>
      </c>
      <c r="E78" s="66">
        <v>0</v>
      </c>
      <c r="F78" s="90">
        <v>1.860342171994489E-3</v>
      </c>
      <c r="H78" s="62"/>
      <c r="I78" s="62"/>
      <c r="J78" s="90">
        <f>'[1]Cuota-Pago=Saldo'!AN81</f>
        <v>1.860342171994489E-3</v>
      </c>
      <c r="L78"/>
      <c r="M78" s="29">
        <f t="shared" si="1"/>
        <v>0</v>
      </c>
      <c r="N78"/>
      <c r="O78"/>
      <c r="P78"/>
      <c r="Q78"/>
    </row>
    <row r="79" spans="1:17" s="61" customFormat="1" ht="20.100000000000001" customHeight="1" x14ac:dyDescent="0.45">
      <c r="A79" s="69" t="s">
        <v>162</v>
      </c>
      <c r="B79" s="84">
        <v>17</v>
      </c>
      <c r="C79" s="112" t="s">
        <v>6</v>
      </c>
      <c r="D79" s="65">
        <v>501</v>
      </c>
      <c r="E79" s="66">
        <v>0</v>
      </c>
      <c r="F79" s="90">
        <v>0.81383963734413101</v>
      </c>
      <c r="H79" s="62"/>
      <c r="I79" s="62"/>
      <c r="J79" s="90">
        <f>'[1]Cuota-Pago=Saldo'!AN82</f>
        <v>0.81383963734413101</v>
      </c>
      <c r="L79"/>
      <c r="M79" s="29">
        <f t="shared" si="1"/>
        <v>0</v>
      </c>
      <c r="N79"/>
      <c r="O79"/>
      <c r="P79"/>
      <c r="Q79"/>
    </row>
    <row r="80" spans="1:17" s="61" customFormat="1" ht="20.100000000000001" customHeight="1" x14ac:dyDescent="0.45">
      <c r="A80" s="69" t="s">
        <v>163</v>
      </c>
      <c r="B80" s="84">
        <v>18</v>
      </c>
      <c r="C80" s="112" t="s">
        <v>6</v>
      </c>
      <c r="D80" s="65">
        <v>502</v>
      </c>
      <c r="E80" s="66">
        <v>0</v>
      </c>
      <c r="F80" s="90">
        <v>5.4250440945395439E-2</v>
      </c>
      <c r="H80" s="62"/>
      <c r="I80" s="62"/>
      <c r="J80" s="90">
        <f>'[1]Cuota-Pago=Saldo'!AN83</f>
        <v>5.4250440945395439E-2</v>
      </c>
      <c r="L80"/>
      <c r="M80" s="29">
        <f t="shared" si="1"/>
        <v>0</v>
      </c>
      <c r="N80"/>
      <c r="O80"/>
      <c r="P80"/>
      <c r="Q80"/>
    </row>
    <row r="81" spans="1:17" s="61" customFormat="1" ht="20.100000000000001" customHeight="1" x14ac:dyDescent="0.45">
      <c r="A81" s="69" t="s">
        <v>164</v>
      </c>
      <c r="B81" s="84">
        <v>19</v>
      </c>
      <c r="C81" s="112" t="s">
        <v>6</v>
      </c>
      <c r="D81" s="65">
        <v>503</v>
      </c>
      <c r="E81" s="66">
        <v>0</v>
      </c>
      <c r="F81" s="90">
        <v>576.69304587316924</v>
      </c>
      <c r="H81" s="62"/>
      <c r="I81" s="62"/>
      <c r="J81" s="90">
        <f>'[1]Cuota-Pago=Saldo'!AN84</f>
        <v>576.69304587316924</v>
      </c>
      <c r="L81"/>
      <c r="M81" s="29">
        <f t="shared" si="1"/>
        <v>0</v>
      </c>
      <c r="N81"/>
      <c r="O81"/>
      <c r="P81"/>
      <c r="Q81"/>
    </row>
    <row r="82" spans="1:17" s="61" customFormat="1" ht="20.100000000000001" customHeight="1" x14ac:dyDescent="0.45">
      <c r="A82" s="69" t="s">
        <v>165</v>
      </c>
      <c r="B82" s="84">
        <v>20</v>
      </c>
      <c r="C82" s="112" t="s">
        <v>6</v>
      </c>
      <c r="D82" s="65">
        <v>504</v>
      </c>
      <c r="E82" s="66">
        <v>0</v>
      </c>
      <c r="F82" s="90">
        <v>2.5813775672531847E-3</v>
      </c>
      <c r="H82" s="62"/>
      <c r="I82" s="62"/>
      <c r="J82" s="90">
        <f>'[1]Cuota-Pago=Saldo'!AN85</f>
        <v>2.5813775672531847E-3</v>
      </c>
      <c r="L82"/>
      <c r="M82" s="29">
        <f t="shared" si="1"/>
        <v>0</v>
      </c>
      <c r="N82"/>
      <c r="O82"/>
      <c r="P82"/>
      <c r="Q82"/>
    </row>
    <row r="83" spans="1:17" ht="20.100000000000001" customHeight="1" x14ac:dyDescent="0.45">
      <c r="A83" s="69" t="s">
        <v>166</v>
      </c>
      <c r="B83" s="64">
        <v>1</v>
      </c>
      <c r="C83" s="112" t="s">
        <v>7</v>
      </c>
      <c r="D83" s="65">
        <v>101</v>
      </c>
      <c r="E83" s="66">
        <v>0</v>
      </c>
      <c r="F83" s="90">
        <v>365.54431104288915</v>
      </c>
      <c r="I83" s="67"/>
      <c r="J83" s="90">
        <f>'[1]Cuota-Pago=Saldo'!AN86</f>
        <v>365.54431104288915</v>
      </c>
      <c r="M83" s="29">
        <f t="shared" si="1"/>
        <v>0</v>
      </c>
    </row>
    <row r="84" spans="1:17" ht="20.100000000000001" customHeight="1" x14ac:dyDescent="0.45">
      <c r="A84" s="69" t="s">
        <v>167</v>
      </c>
      <c r="B84" s="64">
        <v>2</v>
      </c>
      <c r="C84" s="112" t="s">
        <v>7</v>
      </c>
      <c r="D84" s="65">
        <v>102</v>
      </c>
      <c r="E84" s="66">
        <v>0</v>
      </c>
      <c r="F84" s="90">
        <v>-3.4496681301448007E-3</v>
      </c>
      <c r="I84" s="68"/>
      <c r="J84" s="90">
        <f>'[1]Cuota-Pago=Saldo'!AN87</f>
        <v>-3.4496681301448007E-3</v>
      </c>
      <c r="M84" s="29">
        <f t="shared" si="1"/>
        <v>0</v>
      </c>
    </row>
    <row r="85" spans="1:17" ht="20.100000000000001" customHeight="1" x14ac:dyDescent="0.45">
      <c r="A85" s="69" t="s">
        <v>168</v>
      </c>
      <c r="B85" s="64">
        <v>3</v>
      </c>
      <c r="C85" s="112" t="s">
        <v>7</v>
      </c>
      <c r="D85" s="65">
        <v>103</v>
      </c>
      <c r="E85" s="66">
        <v>0</v>
      </c>
      <c r="F85" s="90">
        <v>3.0665950412185339E-3</v>
      </c>
      <c r="I85" s="67"/>
      <c r="J85" s="90">
        <f>'[1]Cuota-Pago=Saldo'!AN88</f>
        <v>3.0665950412185339E-3</v>
      </c>
      <c r="M85" s="29">
        <f t="shared" si="1"/>
        <v>0</v>
      </c>
    </row>
    <row r="86" spans="1:17" ht="20.100000000000001" customHeight="1" x14ac:dyDescent="0.45">
      <c r="A86" s="69" t="s">
        <v>169</v>
      </c>
      <c r="B86" s="64">
        <v>4</v>
      </c>
      <c r="C86" s="112" t="s">
        <v>7</v>
      </c>
      <c r="D86" s="65">
        <v>104</v>
      </c>
      <c r="E86" s="66">
        <v>0</v>
      </c>
      <c r="F86" s="90">
        <v>2.1162788683000144E-3</v>
      </c>
      <c r="J86" s="90">
        <f>'[1]Cuota-Pago=Saldo'!AN89</f>
        <v>2.1162788683000144E-3</v>
      </c>
      <c r="M86" s="29">
        <f t="shared" si="1"/>
        <v>0</v>
      </c>
    </row>
    <row r="87" spans="1:17" ht="20.100000000000001" customHeight="1" x14ac:dyDescent="0.45">
      <c r="A87" s="69" t="s">
        <v>170</v>
      </c>
      <c r="B87" s="64">
        <v>5</v>
      </c>
      <c r="C87" s="112" t="s">
        <v>7</v>
      </c>
      <c r="D87" s="65">
        <v>201</v>
      </c>
      <c r="E87" s="66">
        <v>0</v>
      </c>
      <c r="F87" s="90">
        <v>8.9637677176824582E-2</v>
      </c>
      <c r="J87" s="90">
        <f>'[1]Cuota-Pago=Saldo'!AN90</f>
        <v>8.9637677176824582E-2</v>
      </c>
      <c r="M87" s="29">
        <f t="shared" si="1"/>
        <v>0</v>
      </c>
    </row>
    <row r="88" spans="1:17" ht="20.100000000000001" customHeight="1" x14ac:dyDescent="0.45">
      <c r="A88" s="63" t="s">
        <v>171</v>
      </c>
      <c r="B88" s="64">
        <v>6</v>
      </c>
      <c r="C88" s="112" t="s">
        <v>7</v>
      </c>
      <c r="D88" s="65">
        <v>202</v>
      </c>
      <c r="E88" s="66">
        <v>0</v>
      </c>
      <c r="F88" s="90">
        <v>9.1772164751091623E-5</v>
      </c>
      <c r="J88" s="90">
        <f>'[1]Cuota-Pago=Saldo'!AN91</f>
        <v>9.1772164751091623E-5</v>
      </c>
      <c r="M88" s="29">
        <f t="shared" si="1"/>
        <v>0</v>
      </c>
    </row>
    <row r="89" spans="1:17" ht="20.100000000000001" customHeight="1" x14ac:dyDescent="0.45">
      <c r="A89" s="69" t="s">
        <v>172</v>
      </c>
      <c r="B89" s="64">
        <v>7</v>
      </c>
      <c r="C89" s="112" t="s">
        <v>7</v>
      </c>
      <c r="D89" s="65">
        <v>203</v>
      </c>
      <c r="E89" s="66">
        <v>0</v>
      </c>
      <c r="F89" s="90">
        <v>-3.712022141428406E-3</v>
      </c>
      <c r="J89" s="90">
        <f>'[1]Cuota-Pago=Saldo'!AN92</f>
        <v>-3.712022141428406E-3</v>
      </c>
      <c r="M89" s="29">
        <f t="shared" si="1"/>
        <v>0</v>
      </c>
    </row>
    <row r="90" spans="1:17" ht="20.100000000000001" customHeight="1" x14ac:dyDescent="0.45">
      <c r="A90" s="69" t="s">
        <v>173</v>
      </c>
      <c r="B90" s="64">
        <v>8</v>
      </c>
      <c r="C90" s="112" t="s">
        <v>7</v>
      </c>
      <c r="D90" s="65">
        <v>204</v>
      </c>
      <c r="E90" s="66">
        <v>0</v>
      </c>
      <c r="F90" s="90">
        <v>7.4724608863334652E-3</v>
      </c>
      <c r="J90" s="90">
        <f>'[1]Cuota-Pago=Saldo'!AN93</f>
        <v>7.4724608863334652E-3</v>
      </c>
      <c r="M90" s="29">
        <f t="shared" si="1"/>
        <v>0</v>
      </c>
    </row>
    <row r="91" spans="1:17" ht="20.100000000000001" customHeight="1" x14ac:dyDescent="0.45">
      <c r="A91" s="69" t="s">
        <v>174</v>
      </c>
      <c r="B91" s="64">
        <v>9</v>
      </c>
      <c r="C91" s="112" t="s">
        <v>7</v>
      </c>
      <c r="D91" s="65">
        <v>301</v>
      </c>
      <c r="E91" s="66">
        <v>0</v>
      </c>
      <c r="F91" s="90">
        <v>-7.3000107482812382E-4</v>
      </c>
      <c r="J91" s="90">
        <f>'[1]Cuota-Pago=Saldo'!AN94</f>
        <v>-7.3000107482812382E-4</v>
      </c>
      <c r="M91" s="29">
        <f t="shared" si="1"/>
        <v>0</v>
      </c>
    </row>
    <row r="92" spans="1:17" s="61" customFormat="1" ht="20.100000000000001" customHeight="1" x14ac:dyDescent="0.45">
      <c r="A92" s="69" t="s">
        <v>175</v>
      </c>
      <c r="B92" s="64">
        <v>10</v>
      </c>
      <c r="C92" s="112" t="s">
        <v>7</v>
      </c>
      <c r="D92" s="65">
        <v>302</v>
      </c>
      <c r="E92" s="66">
        <v>0</v>
      </c>
      <c r="F92" s="90">
        <v>-2.7627703379948798E-3</v>
      </c>
      <c r="H92" s="62"/>
      <c r="I92" s="62"/>
      <c r="J92" s="90">
        <f>'[1]Cuota-Pago=Saldo'!AN95</f>
        <v>-2.7627703379948798E-3</v>
      </c>
      <c r="L92"/>
      <c r="M92" s="29">
        <f t="shared" si="1"/>
        <v>0</v>
      </c>
      <c r="N92"/>
      <c r="O92"/>
      <c r="P92"/>
      <c r="Q92"/>
    </row>
    <row r="93" spans="1:17" s="61" customFormat="1" ht="20.100000000000001" customHeight="1" x14ac:dyDescent="0.45">
      <c r="A93" s="69" t="s">
        <v>176</v>
      </c>
      <c r="B93" s="64">
        <v>11</v>
      </c>
      <c r="C93" s="112" t="s">
        <v>7</v>
      </c>
      <c r="D93" s="65">
        <v>303</v>
      </c>
      <c r="E93" s="66">
        <v>0</v>
      </c>
      <c r="F93" s="90">
        <v>127.95326523784655</v>
      </c>
      <c r="H93" s="62"/>
      <c r="I93" s="62"/>
      <c r="J93" s="90">
        <f>'[1]Cuota-Pago=Saldo'!AN96</f>
        <v>127.95326523784655</v>
      </c>
      <c r="L93"/>
      <c r="M93" s="29">
        <f t="shared" si="1"/>
        <v>0</v>
      </c>
      <c r="N93"/>
      <c r="O93"/>
      <c r="P93"/>
      <c r="Q93"/>
    </row>
    <row r="94" spans="1:17" s="61" customFormat="1" ht="20.100000000000001" customHeight="1" x14ac:dyDescent="0.45">
      <c r="A94" s="69" t="s">
        <v>177</v>
      </c>
      <c r="B94" s="64">
        <v>12</v>
      </c>
      <c r="C94" s="112" t="s">
        <v>7</v>
      </c>
      <c r="D94" s="65">
        <v>304</v>
      </c>
      <c r="E94" s="66">
        <v>0</v>
      </c>
      <c r="F94" s="90">
        <v>-1.5621482108940654E-3</v>
      </c>
      <c r="H94" s="62"/>
      <c r="I94" s="62"/>
      <c r="J94" s="90">
        <f>'[1]Cuota-Pago=Saldo'!AN97</f>
        <v>-1.5621482108940654E-3</v>
      </c>
      <c r="L94"/>
      <c r="M94" s="29">
        <f t="shared" si="1"/>
        <v>0</v>
      </c>
      <c r="N94"/>
      <c r="O94"/>
      <c r="P94"/>
      <c r="Q94"/>
    </row>
    <row r="95" spans="1:17" s="61" customFormat="1" ht="20.100000000000001" customHeight="1" x14ac:dyDescent="0.45">
      <c r="A95" s="69" t="s">
        <v>178</v>
      </c>
      <c r="B95" s="64">
        <v>13</v>
      </c>
      <c r="C95" s="112" t="s">
        <v>7</v>
      </c>
      <c r="D95" s="65">
        <v>401</v>
      </c>
      <c r="E95" s="66">
        <v>0</v>
      </c>
      <c r="F95" s="90">
        <v>-2.6609378805915185E-3</v>
      </c>
      <c r="G95" s="61">
        <v>100</v>
      </c>
      <c r="H95" s="62"/>
      <c r="I95" s="62"/>
      <c r="J95" s="90">
        <f>'[1]Cuota-Pago=Saldo'!AN98</f>
        <v>-2.6609378805915185E-3</v>
      </c>
      <c r="L95"/>
      <c r="M95" s="29">
        <f t="shared" si="1"/>
        <v>0</v>
      </c>
      <c r="N95"/>
      <c r="O95"/>
      <c r="P95"/>
      <c r="Q95"/>
    </row>
    <row r="96" spans="1:17" s="61" customFormat="1" ht="20.100000000000001" customHeight="1" x14ac:dyDescent="0.45">
      <c r="A96" s="63" t="s">
        <v>179</v>
      </c>
      <c r="B96" s="64">
        <v>14</v>
      </c>
      <c r="C96" s="112" t="s">
        <v>7</v>
      </c>
      <c r="D96" s="65">
        <v>402</v>
      </c>
      <c r="E96" s="66">
        <v>0</v>
      </c>
      <c r="F96" s="90">
        <v>2.0762289590834371E-3</v>
      </c>
      <c r="H96" s="62"/>
      <c r="I96" s="62"/>
      <c r="J96" s="90">
        <f>'[1]Cuota-Pago=Saldo'!AN99</f>
        <v>2.0762289590834371E-3</v>
      </c>
      <c r="L96"/>
      <c r="M96" s="29">
        <f t="shared" si="1"/>
        <v>0</v>
      </c>
      <c r="N96"/>
      <c r="O96"/>
      <c r="P96"/>
      <c r="Q96"/>
    </row>
    <row r="97" spans="1:17" s="61" customFormat="1" ht="20.100000000000001" customHeight="1" x14ac:dyDescent="0.45">
      <c r="A97" s="63" t="s">
        <v>180</v>
      </c>
      <c r="B97" s="64">
        <v>15</v>
      </c>
      <c r="C97" s="112" t="s">
        <v>7</v>
      </c>
      <c r="D97" s="71">
        <v>403</v>
      </c>
      <c r="E97" s="66">
        <v>0</v>
      </c>
      <c r="F97" s="90">
        <v>-4.7801944625120996E-3</v>
      </c>
      <c r="H97" s="62"/>
      <c r="I97" s="62"/>
      <c r="J97" s="90">
        <f>'[1]Cuota-Pago=Saldo'!AN100</f>
        <v>-4.7801944625120996E-3</v>
      </c>
      <c r="L97"/>
      <c r="M97" s="29">
        <f t="shared" si="1"/>
        <v>0</v>
      </c>
      <c r="N97"/>
      <c r="O97"/>
      <c r="P97"/>
      <c r="Q97"/>
    </row>
    <row r="98" spans="1:17" s="61" customFormat="1" ht="20.100000000000001" customHeight="1" x14ac:dyDescent="0.45">
      <c r="A98" s="63" t="s">
        <v>181</v>
      </c>
      <c r="B98" s="64">
        <v>16</v>
      </c>
      <c r="C98" s="112" t="s">
        <v>7</v>
      </c>
      <c r="D98" s="65">
        <v>404</v>
      </c>
      <c r="E98" s="66">
        <v>0</v>
      </c>
      <c r="F98" s="90">
        <v>3.2850830064603542E-3</v>
      </c>
      <c r="H98" s="62"/>
      <c r="I98" s="62"/>
      <c r="J98" s="90">
        <f>'[1]Cuota-Pago=Saldo'!AN101</f>
        <v>3.2850830064603542E-3</v>
      </c>
      <c r="L98"/>
      <c r="M98" s="29">
        <f t="shared" si="1"/>
        <v>0</v>
      </c>
      <c r="N98"/>
      <c r="O98"/>
      <c r="P98"/>
      <c r="Q98"/>
    </row>
    <row r="99" spans="1:17" s="61" customFormat="1" ht="20.100000000000001" customHeight="1" x14ac:dyDescent="0.45">
      <c r="A99" s="69" t="s">
        <v>182</v>
      </c>
      <c r="B99" s="64">
        <v>17</v>
      </c>
      <c r="C99" s="112" t="s">
        <v>7</v>
      </c>
      <c r="D99" s="65">
        <v>501</v>
      </c>
      <c r="E99" s="66">
        <v>0</v>
      </c>
      <c r="F99" s="90">
        <v>-1.3551917447784945E-4</v>
      </c>
      <c r="H99" s="62"/>
      <c r="I99" s="62"/>
      <c r="J99" s="90">
        <f>'[1]Cuota-Pago=Saldo'!AN102</f>
        <v>-1.3551917447784945E-4</v>
      </c>
      <c r="L99"/>
      <c r="M99" s="29">
        <f t="shared" si="1"/>
        <v>0</v>
      </c>
      <c r="N99"/>
      <c r="O99"/>
      <c r="P99"/>
      <c r="Q99"/>
    </row>
    <row r="100" spans="1:17" s="61" customFormat="1" ht="20.100000000000001" customHeight="1" x14ac:dyDescent="0.45">
      <c r="A100" s="63" t="s">
        <v>183</v>
      </c>
      <c r="B100" s="64">
        <v>18</v>
      </c>
      <c r="C100" s="112" t="s">
        <v>7</v>
      </c>
      <c r="D100" s="65">
        <v>502</v>
      </c>
      <c r="E100" s="66">
        <v>0</v>
      </c>
      <c r="F100" s="90">
        <v>2.7223565397434299</v>
      </c>
      <c r="H100" s="62"/>
      <c r="I100" s="62"/>
      <c r="J100" s="90">
        <f>'[1]Cuota-Pago=Saldo'!AN103</f>
        <v>2.7223565397434299</v>
      </c>
      <c r="L100"/>
      <c r="M100" s="29">
        <f t="shared" si="1"/>
        <v>0</v>
      </c>
      <c r="N100"/>
      <c r="O100"/>
      <c r="P100"/>
      <c r="Q100"/>
    </row>
    <row r="101" spans="1:17" s="61" customFormat="1" ht="20.100000000000001" customHeight="1" x14ac:dyDescent="0.45">
      <c r="A101" s="69" t="s">
        <v>184</v>
      </c>
      <c r="B101" s="64">
        <v>19</v>
      </c>
      <c r="C101" s="112" t="s">
        <v>7</v>
      </c>
      <c r="D101" s="65">
        <v>503</v>
      </c>
      <c r="E101" s="66">
        <v>0</v>
      </c>
      <c r="F101" s="90">
        <v>340.39990373986581</v>
      </c>
      <c r="H101" s="62"/>
      <c r="I101" s="62"/>
      <c r="J101" s="90">
        <f>'[1]Cuota-Pago=Saldo'!AN104</f>
        <v>340.39990373986581</v>
      </c>
      <c r="L101"/>
      <c r="M101" s="29">
        <f t="shared" si="1"/>
        <v>0</v>
      </c>
      <c r="N101"/>
      <c r="O101"/>
      <c r="P101"/>
      <c r="Q101"/>
    </row>
    <row r="102" spans="1:17" s="61" customFormat="1" ht="20.100000000000001" customHeight="1" x14ac:dyDescent="0.45">
      <c r="A102" s="69" t="s">
        <v>269</v>
      </c>
      <c r="B102" s="64">
        <v>20</v>
      </c>
      <c r="C102" s="112" t="s">
        <v>7</v>
      </c>
      <c r="D102" s="65">
        <v>504</v>
      </c>
      <c r="E102" s="66">
        <v>0</v>
      </c>
      <c r="F102" s="90">
        <v>3.680209766457665E-3</v>
      </c>
      <c r="H102" s="62"/>
      <c r="I102" s="62"/>
      <c r="J102" s="90">
        <f>'[1]Cuota-Pago=Saldo'!AN105</f>
        <v>3.680209766457665E-3</v>
      </c>
      <c r="L102"/>
      <c r="M102" s="29">
        <f t="shared" si="1"/>
        <v>0</v>
      </c>
      <c r="N102"/>
      <c r="O102"/>
      <c r="P102"/>
      <c r="Q102"/>
    </row>
    <row r="103" spans="1:17" ht="20.100000000000001" customHeight="1" x14ac:dyDescent="0.45">
      <c r="A103" s="85" t="s">
        <v>185</v>
      </c>
      <c r="B103" s="84">
        <v>1</v>
      </c>
      <c r="C103" s="112" t="s">
        <v>8</v>
      </c>
      <c r="D103" s="65">
        <v>101</v>
      </c>
      <c r="E103" s="66">
        <v>0</v>
      </c>
      <c r="F103" s="90">
        <v>349.6791264749458</v>
      </c>
      <c r="I103" s="67"/>
      <c r="J103" s="90">
        <f>'[1]Cuota-Pago=Saldo'!AN106</f>
        <v>349.6791264749458</v>
      </c>
      <c r="M103" s="29">
        <f t="shared" si="1"/>
        <v>0</v>
      </c>
    </row>
    <row r="104" spans="1:17" ht="20.100000000000001" customHeight="1" x14ac:dyDescent="0.45">
      <c r="A104" s="85" t="s">
        <v>186</v>
      </c>
      <c r="B104" s="84">
        <v>2</v>
      </c>
      <c r="C104" s="112" t="s">
        <v>8</v>
      </c>
      <c r="D104" s="65">
        <v>102</v>
      </c>
      <c r="E104" s="66">
        <v>0</v>
      </c>
      <c r="F104" s="90">
        <v>0.65333102665027809</v>
      </c>
      <c r="I104" s="68"/>
      <c r="J104" s="90">
        <f>'[1]Cuota-Pago=Saldo'!AN107</f>
        <v>0.65333102665027809</v>
      </c>
      <c r="M104" s="29">
        <f t="shared" si="1"/>
        <v>0</v>
      </c>
    </row>
    <row r="105" spans="1:17" ht="20.100000000000001" customHeight="1" x14ac:dyDescent="0.45">
      <c r="A105" s="85" t="s">
        <v>187</v>
      </c>
      <c r="B105" s="84">
        <v>3</v>
      </c>
      <c r="C105" s="112" t="s">
        <v>8</v>
      </c>
      <c r="D105" s="65">
        <v>103</v>
      </c>
      <c r="E105" s="66">
        <v>0</v>
      </c>
      <c r="F105" s="90">
        <v>365.82122432561187</v>
      </c>
      <c r="I105" s="67"/>
      <c r="J105" s="90">
        <f>'[1]Cuota-Pago=Saldo'!AN108</f>
        <v>365.82122432561187</v>
      </c>
      <c r="M105" s="29">
        <f t="shared" si="1"/>
        <v>0</v>
      </c>
    </row>
    <row r="106" spans="1:17" ht="20.100000000000001" customHeight="1" x14ac:dyDescent="0.45">
      <c r="A106" s="85" t="s">
        <v>188</v>
      </c>
      <c r="B106" s="84">
        <v>4</v>
      </c>
      <c r="C106" s="112" t="s">
        <v>8</v>
      </c>
      <c r="D106" s="65">
        <v>104</v>
      </c>
      <c r="E106" s="66">
        <v>0</v>
      </c>
      <c r="F106" s="90">
        <v>3.5328064403756798E-3</v>
      </c>
      <c r="J106" s="90">
        <f>'[1]Cuota-Pago=Saldo'!AN109</f>
        <v>3.5328064403756798E-3</v>
      </c>
      <c r="M106" s="29">
        <f t="shared" si="1"/>
        <v>0</v>
      </c>
    </row>
    <row r="107" spans="1:17" ht="20.100000000000001" customHeight="1" x14ac:dyDescent="0.45">
      <c r="A107" s="86" t="s">
        <v>189</v>
      </c>
      <c r="B107" s="84">
        <v>5</v>
      </c>
      <c r="C107" s="112" t="s">
        <v>8</v>
      </c>
      <c r="D107" s="65">
        <v>201</v>
      </c>
      <c r="E107" s="66">
        <v>0</v>
      </c>
      <c r="F107" s="90">
        <v>4.9260013240655098E-3</v>
      </c>
      <c r="J107" s="90">
        <f>'[1]Cuota-Pago=Saldo'!AN110</f>
        <v>4.9260013240655098E-3</v>
      </c>
      <c r="M107" s="29">
        <f t="shared" si="1"/>
        <v>0</v>
      </c>
    </row>
    <row r="108" spans="1:17" ht="20.100000000000001" customHeight="1" x14ac:dyDescent="0.45">
      <c r="A108" s="86" t="s">
        <v>190</v>
      </c>
      <c r="B108" s="84">
        <v>6</v>
      </c>
      <c r="C108" s="112" t="s">
        <v>8</v>
      </c>
      <c r="D108" s="65">
        <v>202</v>
      </c>
      <c r="E108" s="66">
        <v>0</v>
      </c>
      <c r="F108" s="90">
        <v>343.50364485994004</v>
      </c>
      <c r="J108" s="90">
        <f>'[1]Cuota-Pago=Saldo'!AN111</f>
        <v>343.50364485994004</v>
      </c>
      <c r="M108" s="29">
        <f t="shared" si="1"/>
        <v>0</v>
      </c>
    </row>
    <row r="109" spans="1:17" ht="20.100000000000001" customHeight="1" x14ac:dyDescent="0.45">
      <c r="A109" s="86" t="s">
        <v>191</v>
      </c>
      <c r="B109" s="84">
        <v>7</v>
      </c>
      <c r="C109" s="112" t="s">
        <v>8</v>
      </c>
      <c r="D109" s="65">
        <v>203</v>
      </c>
      <c r="E109" s="66">
        <v>0</v>
      </c>
      <c r="F109" s="90">
        <v>-4.150217886262908E-3</v>
      </c>
      <c r="J109" s="90">
        <f>'[1]Cuota-Pago=Saldo'!AN112</f>
        <v>-4.150217886262908E-3</v>
      </c>
      <c r="M109" s="29">
        <f t="shared" si="1"/>
        <v>0</v>
      </c>
    </row>
    <row r="110" spans="1:17" s="61" customFormat="1" ht="20.100000000000001" customHeight="1" x14ac:dyDescent="0.45">
      <c r="A110" s="86" t="s">
        <v>192</v>
      </c>
      <c r="B110" s="84">
        <v>8</v>
      </c>
      <c r="C110" s="112" t="s">
        <v>8</v>
      </c>
      <c r="D110" s="65">
        <v>204</v>
      </c>
      <c r="E110" s="66">
        <v>0</v>
      </c>
      <c r="F110" s="90">
        <v>-4.1065495274210662E-3</v>
      </c>
      <c r="H110" s="62"/>
      <c r="I110" s="62"/>
      <c r="J110" s="90">
        <f>'[1]Cuota-Pago=Saldo'!AN113</f>
        <v>-4.1065495274210662E-3</v>
      </c>
      <c r="L110"/>
      <c r="M110" s="29">
        <f t="shared" si="1"/>
        <v>0</v>
      </c>
      <c r="N110"/>
      <c r="O110"/>
      <c r="P110"/>
      <c r="Q110"/>
    </row>
    <row r="111" spans="1:17" s="61" customFormat="1" ht="20.100000000000001" customHeight="1" x14ac:dyDescent="0.45">
      <c r="A111" s="86" t="s">
        <v>193</v>
      </c>
      <c r="B111" s="84">
        <v>9</v>
      </c>
      <c r="C111" s="112" t="s">
        <v>8</v>
      </c>
      <c r="D111" s="65">
        <v>301</v>
      </c>
      <c r="E111" s="66">
        <v>0</v>
      </c>
      <c r="F111" s="90">
        <v>-3.7136051661263991E-3</v>
      </c>
      <c r="H111" s="62"/>
      <c r="I111" s="62"/>
      <c r="J111" s="90">
        <f>'[1]Cuota-Pago=Saldo'!AN114</f>
        <v>-3.7136051661263991E-3</v>
      </c>
      <c r="L111"/>
      <c r="M111" s="29">
        <f t="shared" si="1"/>
        <v>0</v>
      </c>
      <c r="N111"/>
      <c r="O111"/>
      <c r="P111"/>
      <c r="Q111"/>
    </row>
    <row r="112" spans="1:17" s="61" customFormat="1" ht="20.100000000000001" customHeight="1" x14ac:dyDescent="0.45">
      <c r="A112" s="86" t="s">
        <v>194</v>
      </c>
      <c r="B112" s="84">
        <v>10</v>
      </c>
      <c r="C112" s="112" t="s">
        <v>8</v>
      </c>
      <c r="D112" s="65">
        <v>302</v>
      </c>
      <c r="E112" s="66">
        <v>0</v>
      </c>
      <c r="F112" s="90">
        <v>0.17552967174327705</v>
      </c>
      <c r="H112" s="62"/>
      <c r="I112" s="62"/>
      <c r="J112" s="90">
        <f>'[1]Cuota-Pago=Saldo'!AN115</f>
        <v>0.17552967174327705</v>
      </c>
      <c r="L112"/>
      <c r="M112" s="29">
        <f t="shared" si="1"/>
        <v>0</v>
      </c>
      <c r="N112"/>
      <c r="O112"/>
      <c r="P112"/>
      <c r="Q112"/>
    </row>
    <row r="113" spans="1:17" s="61" customFormat="1" ht="20.100000000000001" customHeight="1" x14ac:dyDescent="0.45">
      <c r="A113" s="85" t="s">
        <v>195</v>
      </c>
      <c r="B113" s="84">
        <v>11</v>
      </c>
      <c r="C113" s="112" t="s">
        <v>8</v>
      </c>
      <c r="D113" s="65">
        <v>303</v>
      </c>
      <c r="E113" s="66">
        <v>0</v>
      </c>
      <c r="F113" s="90">
        <v>3.2797784219269488E-3</v>
      </c>
      <c r="H113" s="62"/>
      <c r="I113" s="62"/>
      <c r="J113" s="90">
        <f>'[1]Cuota-Pago=Saldo'!AN116</f>
        <v>3.2797784219269488E-3</v>
      </c>
      <c r="L113"/>
      <c r="M113" s="29">
        <f t="shared" si="1"/>
        <v>0</v>
      </c>
      <c r="N113"/>
      <c r="O113"/>
      <c r="P113"/>
      <c r="Q113"/>
    </row>
    <row r="114" spans="1:17" s="61" customFormat="1" ht="20.100000000000001" customHeight="1" x14ac:dyDescent="0.45">
      <c r="A114" s="85" t="s">
        <v>196</v>
      </c>
      <c r="B114" s="84">
        <v>12</v>
      </c>
      <c r="C114" s="112" t="s">
        <v>8</v>
      </c>
      <c r="D114" s="65">
        <v>304</v>
      </c>
      <c r="E114" s="66">
        <v>0</v>
      </c>
      <c r="F114" s="90">
        <v>6.9149377378607824E-4</v>
      </c>
      <c r="H114" s="62"/>
      <c r="I114" s="62"/>
      <c r="J114" s="90">
        <f>'[1]Cuota-Pago=Saldo'!AN117</f>
        <v>6.9149377378607824E-4</v>
      </c>
      <c r="L114"/>
      <c r="M114" s="29">
        <f t="shared" si="1"/>
        <v>0</v>
      </c>
      <c r="N114"/>
      <c r="O114"/>
      <c r="P114"/>
      <c r="Q114"/>
    </row>
    <row r="115" spans="1:17" s="61" customFormat="1" ht="20.100000000000001" customHeight="1" x14ac:dyDescent="0.45">
      <c r="A115" s="85" t="s">
        <v>197</v>
      </c>
      <c r="B115" s="84">
        <v>13</v>
      </c>
      <c r="C115" s="112" t="s">
        <v>8</v>
      </c>
      <c r="D115" s="65">
        <v>401</v>
      </c>
      <c r="E115" s="66">
        <v>0</v>
      </c>
      <c r="F115" s="90">
        <v>-3.5759328607127827E-3</v>
      </c>
      <c r="H115" s="62"/>
      <c r="I115" s="62"/>
      <c r="J115" s="90">
        <f>'[1]Cuota-Pago=Saldo'!AN118</f>
        <v>-3.5759328607127827E-3</v>
      </c>
      <c r="L115"/>
      <c r="M115" s="29">
        <f t="shared" si="1"/>
        <v>0</v>
      </c>
      <c r="N115"/>
      <c r="O115"/>
      <c r="P115"/>
      <c r="Q115"/>
    </row>
    <row r="116" spans="1:17" s="61" customFormat="1" ht="20.100000000000001" customHeight="1" x14ac:dyDescent="0.45">
      <c r="A116" s="85" t="s">
        <v>198</v>
      </c>
      <c r="B116" s="84">
        <v>14</v>
      </c>
      <c r="C116" s="112" t="s">
        <v>8</v>
      </c>
      <c r="D116" s="65">
        <v>402</v>
      </c>
      <c r="E116" s="66">
        <v>0</v>
      </c>
      <c r="F116" s="90">
        <v>-2.1750005978447007E-3</v>
      </c>
      <c r="H116" s="62"/>
      <c r="I116" s="62"/>
      <c r="J116" s="90">
        <f>'[1]Cuota-Pago=Saldo'!AN119</f>
        <v>-2.1750005978447007E-3</v>
      </c>
      <c r="L116"/>
      <c r="M116" s="29">
        <f t="shared" si="1"/>
        <v>0</v>
      </c>
      <c r="N116"/>
      <c r="O116"/>
      <c r="P116"/>
      <c r="Q116"/>
    </row>
    <row r="117" spans="1:17" s="61" customFormat="1" ht="20.100000000000001" customHeight="1" x14ac:dyDescent="0.45">
      <c r="A117" s="85" t="s">
        <v>199</v>
      </c>
      <c r="B117" s="84">
        <v>15</v>
      </c>
      <c r="C117" s="112" t="s">
        <v>8</v>
      </c>
      <c r="D117" s="71">
        <v>403</v>
      </c>
      <c r="E117" s="66">
        <v>0</v>
      </c>
      <c r="F117" s="90">
        <v>312.50344159297561</v>
      </c>
      <c r="I117" s="62"/>
      <c r="J117" s="90">
        <f>'[1]Cuota-Pago=Saldo'!AN120</f>
        <v>312.50344159297561</v>
      </c>
      <c r="L117"/>
      <c r="M117" s="29">
        <f t="shared" si="1"/>
        <v>0</v>
      </c>
      <c r="N117"/>
      <c r="O117"/>
      <c r="P117"/>
      <c r="Q117"/>
    </row>
    <row r="118" spans="1:17" s="61" customFormat="1" ht="20.100000000000001" customHeight="1" x14ac:dyDescent="0.45">
      <c r="A118" s="85" t="s">
        <v>200</v>
      </c>
      <c r="B118" s="84">
        <v>16</v>
      </c>
      <c r="C118" s="112" t="s">
        <v>8</v>
      </c>
      <c r="D118" s="65">
        <v>404</v>
      </c>
      <c r="E118" s="66">
        <v>0</v>
      </c>
      <c r="F118" s="90">
        <v>945.32603116474775</v>
      </c>
      <c r="I118" s="62"/>
      <c r="J118" s="90">
        <f>'[1]Cuota-Pago=Saldo'!AN121</f>
        <v>945.32603116474775</v>
      </c>
      <c r="L118"/>
      <c r="M118" s="29">
        <f t="shared" si="1"/>
        <v>0</v>
      </c>
      <c r="N118"/>
      <c r="O118"/>
      <c r="P118"/>
      <c r="Q118"/>
    </row>
    <row r="119" spans="1:17" s="61" customFormat="1" ht="20.100000000000001" customHeight="1" x14ac:dyDescent="0.45">
      <c r="A119" s="85" t="s">
        <v>201</v>
      </c>
      <c r="B119" s="84">
        <v>17</v>
      </c>
      <c r="C119" s="112" t="s">
        <v>8</v>
      </c>
      <c r="D119" s="65">
        <v>501</v>
      </c>
      <c r="E119" s="66">
        <v>0</v>
      </c>
      <c r="F119" s="90">
        <v>0.46507362252060602</v>
      </c>
      <c r="I119" s="62"/>
      <c r="J119" s="90">
        <f>'[1]Cuota-Pago=Saldo'!AN122</f>
        <v>0.46507362252060602</v>
      </c>
      <c r="L119"/>
      <c r="M119" s="29">
        <f t="shared" si="1"/>
        <v>0</v>
      </c>
      <c r="N119"/>
      <c r="O119"/>
      <c r="P119"/>
      <c r="Q119"/>
    </row>
    <row r="120" spans="1:17" s="61" customFormat="1" ht="20.100000000000001" customHeight="1" x14ac:dyDescent="0.45">
      <c r="A120" s="85" t="s">
        <v>202</v>
      </c>
      <c r="B120" s="84">
        <v>18</v>
      </c>
      <c r="C120" s="112" t="s">
        <v>8</v>
      </c>
      <c r="D120" s="65">
        <v>502</v>
      </c>
      <c r="E120" s="66">
        <v>0</v>
      </c>
      <c r="F120" s="90">
        <v>0.10426073336304853</v>
      </c>
      <c r="I120" s="62"/>
      <c r="J120" s="90">
        <f>'[1]Cuota-Pago=Saldo'!AN123</f>
        <v>0.10426073336304853</v>
      </c>
      <c r="L120"/>
      <c r="M120" s="29">
        <f t="shared" si="1"/>
        <v>0</v>
      </c>
      <c r="N120"/>
      <c r="O120"/>
      <c r="P120"/>
      <c r="Q120"/>
    </row>
    <row r="121" spans="1:17" s="61" customFormat="1" ht="20.100000000000001" customHeight="1" x14ac:dyDescent="0.45">
      <c r="A121" s="85" t="s">
        <v>203</v>
      </c>
      <c r="B121" s="84">
        <v>19</v>
      </c>
      <c r="C121" s="112" t="s">
        <v>8</v>
      </c>
      <c r="D121" s="65">
        <v>503</v>
      </c>
      <c r="E121" s="66">
        <v>0</v>
      </c>
      <c r="F121" s="90">
        <v>0.72450459174666548</v>
      </c>
      <c r="I121" s="62"/>
      <c r="J121" s="90">
        <f>'[1]Cuota-Pago=Saldo'!AN124</f>
        <v>0.72450459174666548</v>
      </c>
      <c r="L121"/>
      <c r="M121" s="29">
        <f t="shared" si="1"/>
        <v>0</v>
      </c>
      <c r="N121"/>
      <c r="O121"/>
      <c r="P121"/>
      <c r="Q121"/>
    </row>
    <row r="122" spans="1:17" s="61" customFormat="1" ht="20.100000000000001" customHeight="1" x14ac:dyDescent="0.45">
      <c r="A122" s="85" t="s">
        <v>204</v>
      </c>
      <c r="B122" s="84">
        <v>20</v>
      </c>
      <c r="C122" s="112" t="s">
        <v>8</v>
      </c>
      <c r="D122" s="65">
        <v>504</v>
      </c>
      <c r="E122" s="66">
        <v>0</v>
      </c>
      <c r="F122" s="90">
        <v>-9.2134606290983356E-4</v>
      </c>
      <c r="I122" s="62"/>
      <c r="J122" s="90">
        <f>'[1]Cuota-Pago=Saldo'!AN125</f>
        <v>-9.2134606290983356E-4</v>
      </c>
      <c r="L122"/>
      <c r="M122" s="29">
        <f t="shared" si="1"/>
        <v>0</v>
      </c>
      <c r="N122"/>
      <c r="O122"/>
      <c r="P122"/>
      <c r="Q122"/>
    </row>
    <row r="123" spans="1:17" ht="20.100000000000001" customHeight="1" x14ac:dyDescent="0.45">
      <c r="A123" s="69" t="s">
        <v>205</v>
      </c>
      <c r="B123" s="64">
        <v>1</v>
      </c>
      <c r="C123" s="112" t="s">
        <v>9</v>
      </c>
      <c r="D123" s="65">
        <v>101</v>
      </c>
      <c r="E123" s="66">
        <v>0</v>
      </c>
      <c r="F123" s="90">
        <v>-4.8754979995919712E-3</v>
      </c>
      <c r="I123" s="67"/>
      <c r="J123" s="90">
        <f>'[1]Cuota-Pago=Saldo'!AN126</f>
        <v>-4.8754979995919712E-3</v>
      </c>
      <c r="M123" s="29">
        <f t="shared" si="1"/>
        <v>0</v>
      </c>
    </row>
    <row r="124" spans="1:17" ht="20.100000000000001" customHeight="1" x14ac:dyDescent="0.45">
      <c r="A124" s="69" t="s">
        <v>206</v>
      </c>
      <c r="B124" s="64">
        <v>2</v>
      </c>
      <c r="C124" s="112" t="s">
        <v>9</v>
      </c>
      <c r="D124" s="65">
        <v>102</v>
      </c>
      <c r="E124" s="66">
        <v>0</v>
      </c>
      <c r="F124" s="90">
        <v>5.4773173490673344E-2</v>
      </c>
      <c r="I124" s="68"/>
      <c r="J124" s="90">
        <f>'[1]Cuota-Pago=Saldo'!AN127</f>
        <v>5.4773173490673344E-2</v>
      </c>
      <c r="M124" s="29">
        <f t="shared" si="1"/>
        <v>0</v>
      </c>
    </row>
    <row r="125" spans="1:17" ht="20.100000000000001" customHeight="1" x14ac:dyDescent="0.45">
      <c r="A125" s="63" t="s">
        <v>207</v>
      </c>
      <c r="B125" s="64">
        <v>3</v>
      </c>
      <c r="C125" s="112" t="s">
        <v>9</v>
      </c>
      <c r="D125" s="65">
        <v>103</v>
      </c>
      <c r="E125" s="66">
        <v>0</v>
      </c>
      <c r="F125" s="90">
        <v>330.31386334756417</v>
      </c>
      <c r="I125" s="67"/>
      <c r="J125" s="90">
        <f>'[1]Cuota-Pago=Saldo'!AN128</f>
        <v>330.31386334756417</v>
      </c>
      <c r="M125" s="29">
        <f t="shared" si="1"/>
        <v>0</v>
      </c>
    </row>
    <row r="126" spans="1:17" ht="20.100000000000001" customHeight="1" x14ac:dyDescent="0.45">
      <c r="A126" s="69" t="s">
        <v>208</v>
      </c>
      <c r="B126" s="64">
        <v>4</v>
      </c>
      <c r="C126" s="112" t="s">
        <v>9</v>
      </c>
      <c r="D126" s="65">
        <v>104</v>
      </c>
      <c r="E126" s="66">
        <v>0</v>
      </c>
      <c r="F126" s="90">
        <v>100.99200778748235</v>
      </c>
      <c r="J126" s="90">
        <f>'[1]Cuota-Pago=Saldo'!AN129</f>
        <v>100.99200778748235</v>
      </c>
      <c r="M126" s="29">
        <f t="shared" si="1"/>
        <v>0</v>
      </c>
    </row>
    <row r="127" spans="1:17" ht="20.100000000000001" customHeight="1" x14ac:dyDescent="0.45">
      <c r="A127" s="63" t="s">
        <v>209</v>
      </c>
      <c r="B127" s="64">
        <v>5</v>
      </c>
      <c r="C127" s="112" t="s">
        <v>9</v>
      </c>
      <c r="D127" s="65">
        <v>201</v>
      </c>
      <c r="E127" s="66">
        <v>0</v>
      </c>
      <c r="F127" s="90">
        <v>0.55283136041617809</v>
      </c>
      <c r="J127" s="90">
        <f>'[1]Cuota-Pago=Saldo'!AN130</f>
        <v>0.55283136041617809</v>
      </c>
      <c r="M127" s="29">
        <f t="shared" si="1"/>
        <v>0</v>
      </c>
    </row>
    <row r="128" spans="1:17" ht="20.100000000000001" customHeight="1" x14ac:dyDescent="0.45">
      <c r="A128" s="63" t="s">
        <v>210</v>
      </c>
      <c r="B128" s="64">
        <v>6</v>
      </c>
      <c r="C128" s="112" t="s">
        <v>9</v>
      </c>
      <c r="D128" s="65">
        <v>202</v>
      </c>
      <c r="E128" s="66">
        <v>0</v>
      </c>
      <c r="F128" s="90">
        <v>-1.8851861476605336E-3</v>
      </c>
      <c r="J128" s="90">
        <f>'[1]Cuota-Pago=Saldo'!AN131</f>
        <v>-1.8851861476605336E-3</v>
      </c>
      <c r="M128" s="29">
        <f t="shared" si="1"/>
        <v>0</v>
      </c>
    </row>
    <row r="129" spans="1:17" ht="20.100000000000001" customHeight="1" x14ac:dyDescent="0.45">
      <c r="A129" s="63" t="s">
        <v>211</v>
      </c>
      <c r="B129" s="64">
        <v>7</v>
      </c>
      <c r="C129" s="112" t="s">
        <v>9</v>
      </c>
      <c r="D129" s="65">
        <v>203</v>
      </c>
      <c r="E129" s="66">
        <v>0</v>
      </c>
      <c r="F129" s="90">
        <v>403.7718025606855</v>
      </c>
      <c r="J129" s="90">
        <f>'[1]Cuota-Pago=Saldo'!AN132</f>
        <v>403.7718025606855</v>
      </c>
      <c r="M129" s="29">
        <f t="shared" si="1"/>
        <v>0</v>
      </c>
    </row>
    <row r="130" spans="1:17" s="61" customFormat="1" ht="20.100000000000001" customHeight="1" x14ac:dyDescent="0.45">
      <c r="A130" s="63" t="s">
        <v>212</v>
      </c>
      <c r="B130" s="64">
        <v>8</v>
      </c>
      <c r="C130" s="112" t="s">
        <v>9</v>
      </c>
      <c r="D130" s="65">
        <v>204</v>
      </c>
      <c r="E130" s="66">
        <v>0</v>
      </c>
      <c r="F130" s="90">
        <v>3.716580119714763E-3</v>
      </c>
      <c r="H130" s="62"/>
      <c r="I130" s="62"/>
      <c r="J130" s="90">
        <f>'[1]Cuota-Pago=Saldo'!AN133</f>
        <v>3.716580119714763E-3</v>
      </c>
      <c r="L130"/>
      <c r="M130" s="29">
        <f t="shared" si="1"/>
        <v>0</v>
      </c>
      <c r="N130"/>
      <c r="O130"/>
      <c r="P130"/>
      <c r="Q130"/>
    </row>
    <row r="131" spans="1:17" s="61" customFormat="1" ht="20.100000000000001" customHeight="1" x14ac:dyDescent="0.45">
      <c r="A131" s="63" t="s">
        <v>213</v>
      </c>
      <c r="B131" s="64">
        <v>9</v>
      </c>
      <c r="C131" s="112" t="s">
        <v>9</v>
      </c>
      <c r="D131" s="65">
        <v>301</v>
      </c>
      <c r="E131" s="66">
        <v>0</v>
      </c>
      <c r="F131" s="90">
        <v>-1.4711784788232762E-3</v>
      </c>
      <c r="H131" s="62"/>
      <c r="I131" s="62"/>
      <c r="J131" s="90">
        <f>'[1]Cuota-Pago=Saldo'!AN134</f>
        <v>-1.4711784788232762E-3</v>
      </c>
      <c r="L131"/>
      <c r="M131" s="29">
        <f t="shared" si="1"/>
        <v>0</v>
      </c>
      <c r="N131"/>
      <c r="O131"/>
      <c r="P131"/>
      <c r="Q131"/>
    </row>
    <row r="132" spans="1:17" s="61" customFormat="1" ht="20.100000000000001" customHeight="1" x14ac:dyDescent="0.45">
      <c r="A132" s="63" t="s">
        <v>214</v>
      </c>
      <c r="B132" s="64">
        <v>10</v>
      </c>
      <c r="C132" s="112" t="s">
        <v>9</v>
      </c>
      <c r="D132" s="65">
        <v>302</v>
      </c>
      <c r="E132" s="66">
        <v>0</v>
      </c>
      <c r="F132" s="90">
        <v>2.9172299839501648E-3</v>
      </c>
      <c r="H132" s="62"/>
      <c r="I132" s="62"/>
      <c r="J132" s="90">
        <f>'[1]Cuota-Pago=Saldo'!AN135</f>
        <v>2.9172299839501648E-3</v>
      </c>
      <c r="L132"/>
      <c r="M132" s="29">
        <f t="shared" ref="M132:M182" si="2">SUM(J132,-F132)</f>
        <v>0</v>
      </c>
      <c r="N132"/>
      <c r="O132"/>
      <c r="P132"/>
      <c r="Q132"/>
    </row>
    <row r="133" spans="1:17" s="61" customFormat="1" ht="20.100000000000001" customHeight="1" x14ac:dyDescent="0.45">
      <c r="A133" s="63" t="s">
        <v>215</v>
      </c>
      <c r="B133" s="64">
        <v>11</v>
      </c>
      <c r="C133" s="112" t="s">
        <v>9</v>
      </c>
      <c r="D133" s="65">
        <v>303</v>
      </c>
      <c r="E133" s="66">
        <v>0</v>
      </c>
      <c r="F133" s="90">
        <v>-2.3857303481804593E-3</v>
      </c>
      <c r="H133" s="62"/>
      <c r="I133" s="62"/>
      <c r="J133" s="90">
        <f>'[1]Cuota-Pago=Saldo'!AN136</f>
        <v>-2.3857303481804593E-3</v>
      </c>
      <c r="L133"/>
      <c r="M133" s="29">
        <f t="shared" si="2"/>
        <v>0</v>
      </c>
      <c r="N133"/>
      <c r="O133"/>
      <c r="P133"/>
      <c r="Q133"/>
    </row>
    <row r="134" spans="1:17" s="61" customFormat="1" ht="20.100000000000001" customHeight="1" x14ac:dyDescent="0.45">
      <c r="A134" s="63" t="s">
        <v>216</v>
      </c>
      <c r="B134" s="64">
        <v>12</v>
      </c>
      <c r="C134" s="112" t="s">
        <v>9</v>
      </c>
      <c r="D134" s="65">
        <v>304</v>
      </c>
      <c r="E134" s="66">
        <v>0</v>
      </c>
      <c r="F134" s="90">
        <v>2.5401753741221E-3</v>
      </c>
      <c r="H134" s="62"/>
      <c r="I134" s="62"/>
      <c r="J134" s="90">
        <f>'[1]Cuota-Pago=Saldo'!AN137</f>
        <v>2.5401753741221E-3</v>
      </c>
      <c r="L134"/>
      <c r="M134" s="29">
        <f t="shared" si="2"/>
        <v>0</v>
      </c>
      <c r="N134"/>
      <c r="O134"/>
      <c r="P134"/>
      <c r="Q134"/>
    </row>
    <row r="135" spans="1:17" s="61" customFormat="1" ht="20.100000000000001" customHeight="1" x14ac:dyDescent="0.45">
      <c r="A135" s="69" t="s">
        <v>217</v>
      </c>
      <c r="B135" s="64">
        <v>13</v>
      </c>
      <c r="C135" s="112" t="s">
        <v>9</v>
      </c>
      <c r="D135" s="65">
        <v>401</v>
      </c>
      <c r="E135" s="66">
        <v>0</v>
      </c>
      <c r="F135" s="90">
        <v>0.93794361146535721</v>
      </c>
      <c r="H135" s="62"/>
      <c r="I135" s="62"/>
      <c r="J135" s="90">
        <f>'[1]Cuota-Pago=Saldo'!AN138</f>
        <v>0.93794361146535721</v>
      </c>
      <c r="L135"/>
      <c r="M135" s="29">
        <f t="shared" si="2"/>
        <v>0</v>
      </c>
      <c r="N135"/>
      <c r="O135"/>
      <c r="P135"/>
      <c r="Q135"/>
    </row>
    <row r="136" spans="1:17" s="61" customFormat="1" ht="20.100000000000001" customHeight="1" x14ac:dyDescent="0.45">
      <c r="A136" s="63" t="s">
        <v>218</v>
      </c>
      <c r="B136" s="64">
        <v>14</v>
      </c>
      <c r="C136" s="112" t="s">
        <v>9</v>
      </c>
      <c r="D136" s="65">
        <v>402</v>
      </c>
      <c r="E136" s="66">
        <v>0</v>
      </c>
      <c r="F136" s="90">
        <v>0.14201595009313905</v>
      </c>
      <c r="H136" s="62"/>
      <c r="I136" s="62"/>
      <c r="J136" s="90">
        <f>'[1]Cuota-Pago=Saldo'!AN139</f>
        <v>0.14201595009313905</v>
      </c>
      <c r="L136"/>
      <c r="M136" s="29">
        <f t="shared" si="2"/>
        <v>0</v>
      </c>
      <c r="N136"/>
      <c r="O136"/>
      <c r="P136"/>
      <c r="Q136"/>
    </row>
    <row r="137" spans="1:17" s="61" customFormat="1" ht="20.100000000000001" customHeight="1" x14ac:dyDescent="0.45">
      <c r="A137" s="63" t="s">
        <v>219</v>
      </c>
      <c r="B137" s="64">
        <v>15</v>
      </c>
      <c r="C137" s="112" t="s">
        <v>9</v>
      </c>
      <c r="D137" s="71">
        <v>403</v>
      </c>
      <c r="E137" s="66">
        <v>0</v>
      </c>
      <c r="F137" s="90">
        <v>-2.9180472737948548E-3</v>
      </c>
      <c r="H137" s="62"/>
      <c r="I137" s="62"/>
      <c r="J137" s="90">
        <f>'[1]Cuota-Pago=Saldo'!AN140</f>
        <v>-2.9180472737948548E-3</v>
      </c>
      <c r="L137"/>
      <c r="M137" s="29">
        <f t="shared" si="2"/>
        <v>0</v>
      </c>
      <c r="N137"/>
      <c r="O137"/>
      <c r="P137"/>
      <c r="Q137"/>
    </row>
    <row r="138" spans="1:17" s="61" customFormat="1" ht="20.100000000000001" customHeight="1" x14ac:dyDescent="0.45">
      <c r="A138" s="63" t="s">
        <v>220</v>
      </c>
      <c r="B138" s="64">
        <v>16</v>
      </c>
      <c r="C138" s="112" t="s">
        <v>9</v>
      </c>
      <c r="D138" s="65">
        <v>404</v>
      </c>
      <c r="E138" s="66">
        <v>0</v>
      </c>
      <c r="F138" s="90">
        <v>-1.0201996535670332E-3</v>
      </c>
      <c r="H138" s="62"/>
      <c r="I138" s="62"/>
      <c r="J138" s="90">
        <f>'[1]Cuota-Pago=Saldo'!AN141</f>
        <v>-1.0201996535670332E-3</v>
      </c>
      <c r="L138"/>
      <c r="M138" s="29">
        <f t="shared" si="2"/>
        <v>0</v>
      </c>
      <c r="N138"/>
      <c r="O138"/>
      <c r="P138"/>
      <c r="Q138"/>
    </row>
    <row r="139" spans="1:17" s="61" customFormat="1" ht="20.100000000000001" customHeight="1" x14ac:dyDescent="0.45">
      <c r="A139" s="63" t="s">
        <v>221</v>
      </c>
      <c r="B139" s="64">
        <v>17</v>
      </c>
      <c r="C139" s="112" t="s">
        <v>9</v>
      </c>
      <c r="D139" s="65">
        <v>501</v>
      </c>
      <c r="E139" s="66">
        <v>0</v>
      </c>
      <c r="F139" s="90">
        <v>1.7352766968201649E-3</v>
      </c>
      <c r="H139" s="62"/>
      <c r="I139" s="62"/>
      <c r="J139" s="90">
        <f>'[1]Cuota-Pago=Saldo'!AN142</f>
        <v>1.7352766968201649E-3</v>
      </c>
      <c r="L139"/>
      <c r="M139" s="29">
        <f t="shared" si="2"/>
        <v>0</v>
      </c>
      <c r="N139"/>
      <c r="O139"/>
      <c r="P139"/>
      <c r="Q139"/>
    </row>
    <row r="140" spans="1:17" s="61" customFormat="1" ht="20.100000000000001" customHeight="1" x14ac:dyDescent="0.45">
      <c r="A140" s="69" t="s">
        <v>222</v>
      </c>
      <c r="B140" s="64">
        <v>18</v>
      </c>
      <c r="C140" s="112" t="s">
        <v>9</v>
      </c>
      <c r="D140" s="65">
        <v>502</v>
      </c>
      <c r="E140" s="66">
        <v>0</v>
      </c>
      <c r="F140" s="90">
        <v>-2.9643330640283239E-4</v>
      </c>
      <c r="H140" s="62"/>
      <c r="I140" s="62"/>
      <c r="J140" s="90">
        <f>'[1]Cuota-Pago=Saldo'!AN143</f>
        <v>-2.9643330640283239E-4</v>
      </c>
      <c r="L140"/>
      <c r="M140" s="29">
        <f t="shared" si="2"/>
        <v>0</v>
      </c>
      <c r="N140"/>
      <c r="O140"/>
      <c r="P140"/>
      <c r="Q140"/>
    </row>
    <row r="141" spans="1:17" s="61" customFormat="1" ht="20.100000000000001" customHeight="1" x14ac:dyDescent="0.45">
      <c r="A141" s="69" t="s">
        <v>223</v>
      </c>
      <c r="B141" s="64">
        <v>19</v>
      </c>
      <c r="C141" s="112" t="s">
        <v>9</v>
      </c>
      <c r="D141" s="65">
        <v>503</v>
      </c>
      <c r="E141" s="66">
        <v>0</v>
      </c>
      <c r="F141" s="90">
        <v>-3.3711040877051346E-3</v>
      </c>
      <c r="H141" s="62"/>
      <c r="I141" s="62"/>
      <c r="J141" s="90">
        <f>'[1]Cuota-Pago=Saldo'!AN144</f>
        <v>-3.3711040877051346E-3</v>
      </c>
      <c r="L141"/>
      <c r="M141" s="29">
        <f t="shared" si="2"/>
        <v>0</v>
      </c>
      <c r="N141"/>
      <c r="O141"/>
      <c r="P141"/>
      <c r="Q141"/>
    </row>
    <row r="142" spans="1:17" s="61" customFormat="1" ht="20.100000000000001" customHeight="1" x14ac:dyDescent="0.45">
      <c r="A142" s="69" t="s">
        <v>224</v>
      </c>
      <c r="B142" s="64">
        <v>20</v>
      </c>
      <c r="C142" s="112" t="s">
        <v>9</v>
      </c>
      <c r="D142" s="65">
        <v>504</v>
      </c>
      <c r="E142" s="66">
        <v>0</v>
      </c>
      <c r="F142" s="90">
        <v>2.7767091410169087E-4</v>
      </c>
      <c r="H142" s="62"/>
      <c r="I142" s="62"/>
      <c r="J142" s="90">
        <f>'[1]Cuota-Pago=Saldo'!AN145</f>
        <v>2.7767091410169087E-4</v>
      </c>
      <c r="L142"/>
      <c r="M142" s="29">
        <f t="shared" si="2"/>
        <v>0</v>
      </c>
      <c r="N142"/>
      <c r="O142"/>
      <c r="P142"/>
      <c r="Q142"/>
    </row>
    <row r="143" spans="1:17" ht="20.100000000000001" customHeight="1" x14ac:dyDescent="0.45">
      <c r="A143" s="63" t="s">
        <v>225</v>
      </c>
      <c r="B143" s="84">
        <v>1</v>
      </c>
      <c r="C143" s="112" t="s">
        <v>10</v>
      </c>
      <c r="D143" s="65">
        <v>101</v>
      </c>
      <c r="E143" s="66">
        <v>0</v>
      </c>
      <c r="F143" s="90">
        <v>7.7436304155753533E-4</v>
      </c>
      <c r="I143" s="67"/>
      <c r="J143" s="90">
        <f>'[1]Cuota-Pago=Saldo'!AN146</f>
        <v>7.7436304155753533E-4</v>
      </c>
      <c r="M143" s="29">
        <f t="shared" si="2"/>
        <v>0</v>
      </c>
    </row>
    <row r="144" spans="1:17" ht="20.100000000000001" customHeight="1" x14ac:dyDescent="0.45">
      <c r="A144" s="63" t="s">
        <v>226</v>
      </c>
      <c r="B144" s="84">
        <v>2</v>
      </c>
      <c r="C144" s="112" t="s">
        <v>10</v>
      </c>
      <c r="D144" s="65">
        <v>102</v>
      </c>
      <c r="E144" s="66">
        <v>0</v>
      </c>
      <c r="F144" s="90">
        <v>0.22038112245417096</v>
      </c>
      <c r="I144" s="68"/>
      <c r="J144" s="90">
        <f>'[1]Cuota-Pago=Saldo'!AN147</f>
        <v>0.22038112245417096</v>
      </c>
      <c r="M144" s="29">
        <f t="shared" si="2"/>
        <v>0</v>
      </c>
    </row>
    <row r="145" spans="1:13" ht="20.100000000000001" customHeight="1" x14ac:dyDescent="0.45">
      <c r="A145" s="69" t="s">
        <v>227</v>
      </c>
      <c r="B145" s="84">
        <v>3</v>
      </c>
      <c r="C145" s="112" t="s">
        <v>10</v>
      </c>
      <c r="D145" s="65">
        <v>103</v>
      </c>
      <c r="E145" s="66">
        <v>0</v>
      </c>
      <c r="F145" s="90">
        <v>1.7556839546841729E-3</v>
      </c>
      <c r="I145" s="67"/>
      <c r="J145" s="90">
        <f>'[1]Cuota-Pago=Saldo'!AN148</f>
        <v>1.7556839546841729E-3</v>
      </c>
      <c r="M145" s="29">
        <f t="shared" si="2"/>
        <v>0</v>
      </c>
    </row>
    <row r="146" spans="1:13" ht="20.100000000000001" customHeight="1" x14ac:dyDescent="0.45">
      <c r="A146" s="69" t="s">
        <v>228</v>
      </c>
      <c r="B146" s="84">
        <v>4</v>
      </c>
      <c r="C146" s="112" t="s">
        <v>10</v>
      </c>
      <c r="D146" s="65">
        <v>104</v>
      </c>
      <c r="E146" s="66">
        <v>0</v>
      </c>
      <c r="F146" s="90">
        <v>-1.8938581742418137E-3</v>
      </c>
      <c r="J146" s="90">
        <f>'[1]Cuota-Pago=Saldo'!AN149</f>
        <v>-1.8938581742418137E-3</v>
      </c>
      <c r="M146" s="29">
        <f t="shared" si="2"/>
        <v>0</v>
      </c>
    </row>
    <row r="147" spans="1:13" ht="20.100000000000001" customHeight="1" x14ac:dyDescent="0.45">
      <c r="A147" s="69" t="s">
        <v>229</v>
      </c>
      <c r="B147" s="84">
        <v>5</v>
      </c>
      <c r="C147" s="112" t="s">
        <v>10</v>
      </c>
      <c r="D147" s="65">
        <v>201</v>
      </c>
      <c r="E147" s="66">
        <v>0</v>
      </c>
      <c r="F147" s="90">
        <v>1.4214717441518587E-3</v>
      </c>
      <c r="J147" s="90">
        <f>'[1]Cuota-Pago=Saldo'!AN150</f>
        <v>1.4214717441518587E-3</v>
      </c>
      <c r="M147" s="29">
        <f t="shared" si="2"/>
        <v>0</v>
      </c>
    </row>
    <row r="148" spans="1:13" ht="20.100000000000001" customHeight="1" x14ac:dyDescent="0.45">
      <c r="A148" s="69" t="s">
        <v>230</v>
      </c>
      <c r="B148" s="84">
        <v>6</v>
      </c>
      <c r="C148" s="112" t="s">
        <v>10</v>
      </c>
      <c r="D148" s="65">
        <v>202</v>
      </c>
      <c r="E148" s="66">
        <v>0</v>
      </c>
      <c r="F148" s="90">
        <v>345.67245850314282</v>
      </c>
      <c r="J148" s="90">
        <f>'[1]Cuota-Pago=Saldo'!AN151</f>
        <v>345.67245850314282</v>
      </c>
      <c r="M148" s="29">
        <f t="shared" si="2"/>
        <v>0</v>
      </c>
    </row>
    <row r="149" spans="1:13" ht="20.100000000000001" customHeight="1" x14ac:dyDescent="0.45">
      <c r="A149" s="69" t="s">
        <v>231</v>
      </c>
      <c r="B149" s="84">
        <v>7</v>
      </c>
      <c r="C149" s="112" t="s">
        <v>10</v>
      </c>
      <c r="D149" s="65">
        <v>203</v>
      </c>
      <c r="E149" s="66">
        <v>0</v>
      </c>
      <c r="F149" s="90">
        <v>334.69422811938665</v>
      </c>
      <c r="J149" s="90">
        <f>'[1]Cuota-Pago=Saldo'!AN152</f>
        <v>334.69422811938665</v>
      </c>
      <c r="M149" s="29">
        <f t="shared" si="2"/>
        <v>0</v>
      </c>
    </row>
    <row r="150" spans="1:13" ht="20.100000000000001" customHeight="1" x14ac:dyDescent="0.45">
      <c r="A150" s="69" t="s">
        <v>232</v>
      </c>
      <c r="B150" s="84">
        <v>8</v>
      </c>
      <c r="C150" s="112" t="s">
        <v>10</v>
      </c>
      <c r="D150" s="65">
        <v>204</v>
      </c>
      <c r="E150" s="66">
        <v>0</v>
      </c>
      <c r="F150" s="90">
        <v>2.3650902534200213E-4</v>
      </c>
      <c r="J150" s="90">
        <f>'[1]Cuota-Pago=Saldo'!AN153</f>
        <v>2.3650902534200213E-4</v>
      </c>
      <c r="M150" s="29">
        <f t="shared" si="2"/>
        <v>0</v>
      </c>
    </row>
    <row r="151" spans="1:13" ht="20.100000000000001" customHeight="1" x14ac:dyDescent="0.45">
      <c r="A151" s="69" t="s">
        <v>233</v>
      </c>
      <c r="B151" s="84">
        <v>9</v>
      </c>
      <c r="C151" s="112" t="s">
        <v>10</v>
      </c>
      <c r="D151" s="65">
        <v>301</v>
      </c>
      <c r="E151" s="66">
        <v>0</v>
      </c>
      <c r="F151" s="90">
        <v>3.8377683682313091E-2</v>
      </c>
      <c r="J151" s="90">
        <f>'[1]Cuota-Pago=Saldo'!AN154</f>
        <v>3.8377683682313091E-2</v>
      </c>
      <c r="M151" s="29">
        <f t="shared" si="2"/>
        <v>0</v>
      </c>
    </row>
    <row r="152" spans="1:13" ht="20.100000000000001" customHeight="1" x14ac:dyDescent="0.45">
      <c r="A152" s="69" t="s">
        <v>234</v>
      </c>
      <c r="B152" s="84">
        <v>10</v>
      </c>
      <c r="C152" s="112" t="s">
        <v>10</v>
      </c>
      <c r="D152" s="65">
        <v>302</v>
      </c>
      <c r="E152" s="66">
        <v>0</v>
      </c>
      <c r="F152" s="90">
        <v>350.49874705813357</v>
      </c>
      <c r="J152" s="90">
        <f>'[1]Cuota-Pago=Saldo'!AN155</f>
        <v>350.49874705813357</v>
      </c>
      <c r="M152" s="29">
        <f t="shared" si="2"/>
        <v>0</v>
      </c>
    </row>
    <row r="153" spans="1:13" ht="20.100000000000001" customHeight="1" x14ac:dyDescent="0.45">
      <c r="A153" s="63" t="s">
        <v>235</v>
      </c>
      <c r="B153" s="84">
        <v>11</v>
      </c>
      <c r="C153" s="112" t="s">
        <v>10</v>
      </c>
      <c r="D153" s="65">
        <v>303</v>
      </c>
      <c r="E153" s="66">
        <v>0</v>
      </c>
      <c r="F153" s="90">
        <v>-2.3507685989443416E-3</v>
      </c>
      <c r="J153" s="90">
        <f>'[1]Cuota-Pago=Saldo'!AN156</f>
        <v>-2.3507685989443416E-3</v>
      </c>
      <c r="M153" s="29">
        <f t="shared" si="2"/>
        <v>0</v>
      </c>
    </row>
    <row r="154" spans="1:13" ht="20.100000000000001" customHeight="1" x14ac:dyDescent="0.45">
      <c r="A154" s="69" t="s">
        <v>236</v>
      </c>
      <c r="B154" s="84">
        <v>12</v>
      </c>
      <c r="C154" s="112" t="s">
        <v>10</v>
      </c>
      <c r="D154" s="65">
        <v>304</v>
      </c>
      <c r="E154" s="66">
        <v>0</v>
      </c>
      <c r="F154" s="90">
        <v>3.423696392360398E-3</v>
      </c>
      <c r="J154" s="90">
        <f>'[1]Cuota-Pago=Saldo'!AN157</f>
        <v>3.423696392360398E-3</v>
      </c>
      <c r="M154" s="29">
        <f t="shared" si="2"/>
        <v>0</v>
      </c>
    </row>
    <row r="155" spans="1:13" ht="20.100000000000001" customHeight="1" x14ac:dyDescent="0.45">
      <c r="A155" s="69" t="s">
        <v>237</v>
      </c>
      <c r="B155" s="84">
        <v>13</v>
      </c>
      <c r="C155" s="112" t="s">
        <v>10</v>
      </c>
      <c r="D155" s="65">
        <v>401</v>
      </c>
      <c r="E155" s="66">
        <v>0</v>
      </c>
      <c r="F155" s="90">
        <v>36.397820089381582</v>
      </c>
      <c r="J155" s="90">
        <f>'[1]Cuota-Pago=Saldo'!AN158</f>
        <v>36.397820089381582</v>
      </c>
      <c r="M155" s="29">
        <f t="shared" si="2"/>
        <v>0</v>
      </c>
    </row>
    <row r="156" spans="1:13" ht="20.100000000000001" customHeight="1" x14ac:dyDescent="0.45">
      <c r="A156" s="63" t="s">
        <v>238</v>
      </c>
      <c r="B156" s="84">
        <v>14</v>
      </c>
      <c r="C156" s="112" t="s">
        <v>10</v>
      </c>
      <c r="D156" s="65">
        <v>402</v>
      </c>
      <c r="E156" s="66">
        <v>0</v>
      </c>
      <c r="F156" s="90">
        <v>0.25052805300555292</v>
      </c>
      <c r="J156" s="90">
        <f>'[1]Cuota-Pago=Saldo'!AN159</f>
        <v>0.25052805300555292</v>
      </c>
      <c r="M156" s="29">
        <f t="shared" si="2"/>
        <v>0</v>
      </c>
    </row>
    <row r="157" spans="1:13" ht="20.100000000000001" customHeight="1" x14ac:dyDescent="0.45">
      <c r="A157" s="69" t="s">
        <v>239</v>
      </c>
      <c r="B157" s="84">
        <v>15</v>
      </c>
      <c r="C157" s="112" t="s">
        <v>10</v>
      </c>
      <c r="D157" s="71">
        <v>403</v>
      </c>
      <c r="E157" s="66">
        <v>0</v>
      </c>
      <c r="F157" s="90">
        <v>4.8089503945902834E-4</v>
      </c>
      <c r="J157" s="90">
        <f>'[1]Cuota-Pago=Saldo'!AN160</f>
        <v>4.8089503945902834E-4</v>
      </c>
      <c r="M157" s="29">
        <f t="shared" si="2"/>
        <v>0</v>
      </c>
    </row>
    <row r="158" spans="1:13" ht="20.100000000000001" customHeight="1" x14ac:dyDescent="0.45">
      <c r="A158" s="69" t="s">
        <v>240</v>
      </c>
      <c r="B158" s="84">
        <v>16</v>
      </c>
      <c r="C158" s="112" t="s">
        <v>10</v>
      </c>
      <c r="D158" s="65">
        <v>404</v>
      </c>
      <c r="E158" s="66">
        <v>0</v>
      </c>
      <c r="F158" s="90">
        <v>-2.8324608717866795E-3</v>
      </c>
      <c r="J158" s="90">
        <f>'[1]Cuota-Pago=Saldo'!AN161</f>
        <v>-2.8324608717866795E-3</v>
      </c>
      <c r="M158" s="29">
        <f t="shared" si="2"/>
        <v>0</v>
      </c>
    </row>
    <row r="159" spans="1:13" ht="20.100000000000001" customHeight="1" x14ac:dyDescent="0.45">
      <c r="A159" s="69" t="s">
        <v>241</v>
      </c>
      <c r="B159" s="84">
        <v>17</v>
      </c>
      <c r="C159" s="112" t="s">
        <v>10</v>
      </c>
      <c r="D159" s="65">
        <v>501</v>
      </c>
      <c r="E159" s="66">
        <v>0</v>
      </c>
      <c r="F159" s="90">
        <v>2.3100232551769295E-3</v>
      </c>
      <c r="J159" s="90">
        <f>'[1]Cuota-Pago=Saldo'!AN162</f>
        <v>2.3100232551769295E-3</v>
      </c>
      <c r="M159" s="29">
        <f t="shared" si="2"/>
        <v>0</v>
      </c>
    </row>
    <row r="160" spans="1:13" ht="20.100000000000001" customHeight="1" x14ac:dyDescent="0.45">
      <c r="A160" s="63" t="s">
        <v>242</v>
      </c>
      <c r="B160" s="84">
        <v>18</v>
      </c>
      <c r="C160" s="112" t="s">
        <v>10</v>
      </c>
      <c r="D160" s="65">
        <v>502</v>
      </c>
      <c r="E160" s="66">
        <v>0</v>
      </c>
      <c r="F160" s="90">
        <v>0.2295328008284514</v>
      </c>
      <c r="J160" s="90">
        <f>'[1]Cuota-Pago=Saldo'!AN163</f>
        <v>0.2295328008284514</v>
      </c>
      <c r="M160" s="29">
        <f t="shared" si="2"/>
        <v>0</v>
      </c>
    </row>
    <row r="161" spans="1:13" ht="20.100000000000001" customHeight="1" x14ac:dyDescent="0.45">
      <c r="A161" s="69" t="s">
        <v>243</v>
      </c>
      <c r="B161" s="84">
        <v>19</v>
      </c>
      <c r="C161" s="112" t="s">
        <v>10</v>
      </c>
      <c r="D161" s="65">
        <v>503</v>
      </c>
      <c r="E161" s="66">
        <v>0</v>
      </c>
      <c r="F161" s="90">
        <v>329.09258830412574</v>
      </c>
      <c r="J161" s="90">
        <f>'[1]Cuota-Pago=Saldo'!AN164</f>
        <v>329.09258830412574</v>
      </c>
      <c r="M161" s="29">
        <f t="shared" si="2"/>
        <v>0</v>
      </c>
    </row>
    <row r="162" spans="1:13" ht="20.100000000000001" customHeight="1" x14ac:dyDescent="0.45">
      <c r="A162" s="69" t="s">
        <v>244</v>
      </c>
      <c r="B162" s="84">
        <v>20</v>
      </c>
      <c r="C162" s="112" t="s">
        <v>10</v>
      </c>
      <c r="D162" s="65">
        <v>504</v>
      </c>
      <c r="E162" s="66">
        <v>0</v>
      </c>
      <c r="F162" s="90">
        <v>4.5859215549626242E-3</v>
      </c>
      <c r="J162" s="90">
        <f>'[1]Cuota-Pago=Saldo'!AN165</f>
        <v>4.5859215549626242E-3</v>
      </c>
      <c r="M162" s="29">
        <f t="shared" si="2"/>
        <v>0</v>
      </c>
    </row>
    <row r="163" spans="1:13" ht="20.100000000000001" customHeight="1" x14ac:dyDescent="0.45">
      <c r="A163" s="69" t="s">
        <v>245</v>
      </c>
      <c r="B163" s="64">
        <v>1</v>
      </c>
      <c r="C163" s="112" t="s">
        <v>11</v>
      </c>
      <c r="D163" s="65">
        <v>101</v>
      </c>
      <c r="E163" s="66">
        <v>0</v>
      </c>
      <c r="F163" s="90">
        <v>344.55979615582243</v>
      </c>
      <c r="I163" s="67"/>
      <c r="J163" s="90">
        <f>'[1]Cuota-Pago=Saldo'!AN166</f>
        <v>344.55979615582243</v>
      </c>
      <c r="M163" s="29">
        <f t="shared" si="2"/>
        <v>0</v>
      </c>
    </row>
    <row r="164" spans="1:13" ht="20.100000000000001" customHeight="1" x14ac:dyDescent="0.45">
      <c r="A164" s="69" t="s">
        <v>246</v>
      </c>
      <c r="B164" s="64">
        <v>2</v>
      </c>
      <c r="C164" s="112" t="s">
        <v>11</v>
      </c>
      <c r="D164" s="65">
        <v>102</v>
      </c>
      <c r="E164" s="66">
        <v>0</v>
      </c>
      <c r="F164" s="90">
        <v>151.04210098382759</v>
      </c>
      <c r="I164" s="68"/>
      <c r="J164" s="90">
        <f>'[1]Cuota-Pago=Saldo'!AN167</f>
        <v>151.04210098382759</v>
      </c>
      <c r="M164" s="29">
        <f t="shared" si="2"/>
        <v>0</v>
      </c>
    </row>
    <row r="165" spans="1:13" ht="20.100000000000001" customHeight="1" x14ac:dyDescent="0.45">
      <c r="A165" s="69" t="s">
        <v>247</v>
      </c>
      <c r="B165" s="64">
        <v>3</v>
      </c>
      <c r="C165" s="112" t="s">
        <v>11</v>
      </c>
      <c r="D165" s="65">
        <v>103</v>
      </c>
      <c r="E165" s="66">
        <v>0</v>
      </c>
      <c r="F165" s="90">
        <v>1.975671849606897E-3</v>
      </c>
      <c r="I165" s="67"/>
      <c r="J165" s="90">
        <f>'[1]Cuota-Pago=Saldo'!AN168</f>
        <v>1.975671849606897E-3</v>
      </c>
      <c r="M165" s="29">
        <f t="shared" si="2"/>
        <v>0</v>
      </c>
    </row>
    <row r="166" spans="1:13" ht="20.100000000000001" customHeight="1" x14ac:dyDescent="0.45">
      <c r="A166" s="69" t="s">
        <v>248</v>
      </c>
      <c r="B166" s="64">
        <v>4</v>
      </c>
      <c r="C166" s="112" t="s">
        <v>11</v>
      </c>
      <c r="D166" s="65">
        <v>104</v>
      </c>
      <c r="E166" s="66">
        <v>0</v>
      </c>
      <c r="F166" s="90">
        <v>184.53539523325759</v>
      </c>
      <c r="J166" s="90">
        <f>'[1]Cuota-Pago=Saldo'!AN169</f>
        <v>184.53539523325759</v>
      </c>
      <c r="M166" s="29">
        <f t="shared" si="2"/>
        <v>0</v>
      </c>
    </row>
    <row r="167" spans="1:13" ht="20.100000000000001" customHeight="1" x14ac:dyDescent="0.45">
      <c r="A167" s="69" t="s">
        <v>249</v>
      </c>
      <c r="B167" s="64">
        <v>5</v>
      </c>
      <c r="C167" s="112" t="s">
        <v>11</v>
      </c>
      <c r="D167" s="65">
        <v>201</v>
      </c>
      <c r="E167" s="66">
        <v>0</v>
      </c>
      <c r="F167" s="90">
        <v>1.1611670964177847</v>
      </c>
      <c r="J167" s="90">
        <f>'[1]Cuota-Pago=Saldo'!AN170</f>
        <v>1.1611670964177847</v>
      </c>
      <c r="M167" s="29">
        <f t="shared" si="2"/>
        <v>0</v>
      </c>
    </row>
    <row r="168" spans="1:13" ht="20.100000000000001" customHeight="1" x14ac:dyDescent="0.45">
      <c r="A168" s="69" t="s">
        <v>250</v>
      </c>
      <c r="B168" s="64">
        <v>6</v>
      </c>
      <c r="C168" s="112" t="s">
        <v>11</v>
      </c>
      <c r="D168" s="65">
        <v>202</v>
      </c>
      <c r="E168" s="66">
        <v>0</v>
      </c>
      <c r="F168" s="90">
        <v>231.76468586559184</v>
      </c>
      <c r="J168" s="90">
        <f>'[1]Cuota-Pago=Saldo'!AN171</f>
        <v>231.76468586559184</v>
      </c>
      <c r="M168" s="29">
        <f t="shared" si="2"/>
        <v>0</v>
      </c>
    </row>
    <row r="169" spans="1:13" ht="20.100000000000001" customHeight="1" x14ac:dyDescent="0.45">
      <c r="A169" s="69" t="s">
        <v>251</v>
      </c>
      <c r="B169" s="64">
        <v>7</v>
      </c>
      <c r="C169" s="112" t="s">
        <v>11</v>
      </c>
      <c r="D169" s="65">
        <v>203</v>
      </c>
      <c r="E169" s="66">
        <v>0</v>
      </c>
      <c r="F169" s="90">
        <v>293.04339062464749</v>
      </c>
      <c r="J169" s="90">
        <f>'[1]Cuota-Pago=Saldo'!AN172</f>
        <v>293.04339062464749</v>
      </c>
      <c r="M169" s="29">
        <f t="shared" si="2"/>
        <v>0</v>
      </c>
    </row>
    <row r="170" spans="1:13" ht="20.100000000000001" customHeight="1" x14ac:dyDescent="0.45">
      <c r="A170" s="69" t="s">
        <v>252</v>
      </c>
      <c r="B170" s="64">
        <v>8</v>
      </c>
      <c r="C170" s="112" t="s">
        <v>11</v>
      </c>
      <c r="D170" s="65">
        <v>204</v>
      </c>
      <c r="E170" s="66">
        <v>0</v>
      </c>
      <c r="F170" s="90">
        <v>-1.8543728193094466E-3</v>
      </c>
      <c r="J170" s="90">
        <f>'[1]Cuota-Pago=Saldo'!AN173</f>
        <v>-1.8543728193094466E-3</v>
      </c>
      <c r="M170" s="29">
        <f t="shared" si="2"/>
        <v>0</v>
      </c>
    </row>
    <row r="171" spans="1:13" ht="20.100000000000001" customHeight="1" x14ac:dyDescent="0.45">
      <c r="A171" s="69" t="s">
        <v>253</v>
      </c>
      <c r="B171" s="64">
        <v>9</v>
      </c>
      <c r="C171" s="112" t="s">
        <v>11</v>
      </c>
      <c r="D171" s="65">
        <v>301</v>
      </c>
      <c r="E171" s="66">
        <v>0</v>
      </c>
      <c r="F171" s="90">
        <v>-1.1804904852965592E-3</v>
      </c>
      <c r="J171" s="90">
        <f>'[1]Cuota-Pago=Saldo'!AN174</f>
        <v>-1.1804904852965592E-3</v>
      </c>
      <c r="M171" s="29">
        <f t="shared" si="2"/>
        <v>0</v>
      </c>
    </row>
    <row r="172" spans="1:13" ht="20.100000000000001" customHeight="1" x14ac:dyDescent="0.45">
      <c r="A172" s="69" t="s">
        <v>254</v>
      </c>
      <c r="B172" s="64">
        <v>10</v>
      </c>
      <c r="C172" s="112" t="s">
        <v>11</v>
      </c>
      <c r="D172" s="65">
        <v>302</v>
      </c>
      <c r="E172" s="66">
        <v>0</v>
      </c>
      <c r="F172" s="90">
        <v>46.976461082347669</v>
      </c>
      <c r="J172" s="90">
        <f>'[1]Cuota-Pago=Saldo'!AN175</f>
        <v>46.976461082347669</v>
      </c>
      <c r="M172" s="29">
        <f t="shared" si="2"/>
        <v>0</v>
      </c>
    </row>
    <row r="173" spans="1:13" ht="20.100000000000001" customHeight="1" x14ac:dyDescent="0.45">
      <c r="A173" s="69" t="s">
        <v>255</v>
      </c>
      <c r="B173" s="64">
        <v>11</v>
      </c>
      <c r="C173" s="112" t="s">
        <v>11</v>
      </c>
      <c r="D173" s="65">
        <v>303</v>
      </c>
      <c r="E173" s="66">
        <v>0</v>
      </c>
      <c r="F173" s="90">
        <v>-4.3972142640313905E-4</v>
      </c>
      <c r="J173" s="90">
        <f>'[1]Cuota-Pago=Saldo'!AN176</f>
        <v>-4.3972142640313905E-4</v>
      </c>
      <c r="M173" s="29">
        <f t="shared" si="2"/>
        <v>0</v>
      </c>
    </row>
    <row r="174" spans="1:13" ht="20.100000000000001" customHeight="1" x14ac:dyDescent="0.45">
      <c r="A174" s="63" t="s">
        <v>256</v>
      </c>
      <c r="B174" s="64">
        <v>12</v>
      </c>
      <c r="C174" s="112" t="s">
        <v>11</v>
      </c>
      <c r="D174" s="65">
        <v>304</v>
      </c>
      <c r="E174" s="66">
        <v>0</v>
      </c>
      <c r="F174" s="90">
        <v>2.1569066415736415E-3</v>
      </c>
      <c r="J174" s="90">
        <f>'[1]Cuota-Pago=Saldo'!AN177</f>
        <v>2.1569066415736415E-3</v>
      </c>
      <c r="M174" s="29">
        <f t="shared" si="2"/>
        <v>0</v>
      </c>
    </row>
    <row r="175" spans="1:13" ht="20.100000000000001" customHeight="1" x14ac:dyDescent="0.45">
      <c r="A175" s="69" t="s">
        <v>257</v>
      </c>
      <c r="B175" s="64">
        <v>13</v>
      </c>
      <c r="C175" s="112" t="s">
        <v>11</v>
      </c>
      <c r="D175" s="65">
        <v>401</v>
      </c>
      <c r="E175" s="66">
        <v>0</v>
      </c>
      <c r="F175" s="90">
        <v>-4.1161231904425222E-3</v>
      </c>
      <c r="J175" s="90">
        <f>'[1]Cuota-Pago=Saldo'!AN178</f>
        <v>-4.1161231904425222E-3</v>
      </c>
      <c r="M175" s="29">
        <f t="shared" si="2"/>
        <v>0</v>
      </c>
    </row>
    <row r="176" spans="1:13" ht="20.100000000000001" customHeight="1" x14ac:dyDescent="0.45">
      <c r="A176" s="63" t="s">
        <v>258</v>
      </c>
      <c r="B176" s="64">
        <v>14</v>
      </c>
      <c r="C176" s="112" t="s">
        <v>11</v>
      </c>
      <c r="D176" s="65">
        <v>402</v>
      </c>
      <c r="E176" s="66">
        <v>0</v>
      </c>
      <c r="F176" s="90">
        <v>-1.6284990151689271E-3</v>
      </c>
      <c r="J176" s="90">
        <f>'[1]Cuota-Pago=Saldo'!AN179</f>
        <v>-1.6284990151689271E-3</v>
      </c>
      <c r="M176" s="29">
        <f t="shared" si="2"/>
        <v>0</v>
      </c>
    </row>
    <row r="177" spans="1:13" ht="20.100000000000001" customHeight="1" x14ac:dyDescent="0.45">
      <c r="A177" s="69" t="s">
        <v>259</v>
      </c>
      <c r="B177" s="64">
        <v>15</v>
      </c>
      <c r="C177" s="112" t="s">
        <v>11</v>
      </c>
      <c r="D177" s="71">
        <v>403</v>
      </c>
      <c r="E177" s="66">
        <v>0</v>
      </c>
      <c r="F177" s="90">
        <v>7.7026102445643119E-4</v>
      </c>
      <c r="J177" s="90">
        <f>'[1]Cuota-Pago=Saldo'!AN180</f>
        <v>7.7026102445643119E-4</v>
      </c>
      <c r="M177" s="29">
        <f t="shared" si="2"/>
        <v>0</v>
      </c>
    </row>
    <row r="178" spans="1:13" ht="20.100000000000001" customHeight="1" x14ac:dyDescent="0.45">
      <c r="A178" s="63" t="s">
        <v>260</v>
      </c>
      <c r="B178" s="64">
        <v>16</v>
      </c>
      <c r="C178" s="112" t="s">
        <v>11</v>
      </c>
      <c r="D178" s="65">
        <v>404</v>
      </c>
      <c r="E178" s="66">
        <v>0</v>
      </c>
      <c r="F178" s="90">
        <v>-1.9784332222343437E-3</v>
      </c>
      <c r="J178" s="90">
        <f>'[1]Cuota-Pago=Saldo'!AN181</f>
        <v>-1.9784332222343437E-3</v>
      </c>
      <c r="M178" s="29">
        <f t="shared" si="2"/>
        <v>0</v>
      </c>
    </row>
    <row r="179" spans="1:13" ht="20.100000000000001" customHeight="1" x14ac:dyDescent="0.45">
      <c r="A179" s="69" t="s">
        <v>267</v>
      </c>
      <c r="B179" s="64">
        <v>17</v>
      </c>
      <c r="C179" s="112" t="s">
        <v>11</v>
      </c>
      <c r="D179" s="65">
        <v>501</v>
      </c>
      <c r="E179" s="66">
        <v>0</v>
      </c>
      <c r="F179" s="90">
        <v>797.04487617114046</v>
      </c>
      <c r="J179" s="90">
        <f>'[1]Cuota-Pago=Saldo'!AN182</f>
        <v>797.04487617114046</v>
      </c>
      <c r="M179" s="29">
        <f t="shared" si="2"/>
        <v>0</v>
      </c>
    </row>
    <row r="180" spans="1:13" ht="20.100000000000001" customHeight="1" x14ac:dyDescent="0.45">
      <c r="A180" s="69" t="s">
        <v>261</v>
      </c>
      <c r="B180" s="64">
        <v>18</v>
      </c>
      <c r="C180" s="112" t="s">
        <v>11</v>
      </c>
      <c r="D180" s="65">
        <v>502</v>
      </c>
      <c r="E180" s="66">
        <v>0</v>
      </c>
      <c r="F180" s="90">
        <v>341.61689482228013</v>
      </c>
      <c r="J180" s="90">
        <f>'[1]Cuota-Pago=Saldo'!AN183</f>
        <v>341.61689482228013</v>
      </c>
      <c r="M180" s="29">
        <f t="shared" si="2"/>
        <v>0</v>
      </c>
    </row>
    <row r="181" spans="1:13" ht="20.100000000000001" customHeight="1" x14ac:dyDescent="0.45">
      <c r="A181" s="69" t="s">
        <v>262</v>
      </c>
      <c r="B181" s="64">
        <v>19</v>
      </c>
      <c r="C181" s="112" t="s">
        <v>11</v>
      </c>
      <c r="D181" s="65">
        <v>503</v>
      </c>
      <c r="E181" s="66">
        <v>0</v>
      </c>
      <c r="F181" s="90">
        <v>5.7672659465879406E-5</v>
      </c>
      <c r="J181" s="90">
        <f>'[1]Cuota-Pago=Saldo'!AN184</f>
        <v>5.7672659465879406E-5</v>
      </c>
      <c r="M181" s="29">
        <f t="shared" si="2"/>
        <v>0</v>
      </c>
    </row>
    <row r="182" spans="1:13" ht="20.100000000000001" customHeight="1" x14ac:dyDescent="0.45">
      <c r="A182" s="63" t="s">
        <v>263</v>
      </c>
      <c r="B182" s="64">
        <v>20</v>
      </c>
      <c r="C182" s="112" t="s">
        <v>11</v>
      </c>
      <c r="D182" s="65">
        <v>504</v>
      </c>
      <c r="E182" s="66">
        <v>0</v>
      </c>
      <c r="F182" s="90">
        <v>401.81682330783934</v>
      </c>
      <c r="J182" s="90">
        <f>'[1]Cuota-Pago=Saldo'!AN185</f>
        <v>401.81682330783934</v>
      </c>
      <c r="M182" s="29">
        <f t="shared" si="2"/>
        <v>0</v>
      </c>
    </row>
    <row r="183" spans="1:13" ht="14.25" x14ac:dyDescent="0.45">
      <c r="A183" s="76"/>
      <c r="B183" s="76"/>
      <c r="C183" s="114"/>
      <c r="D183" s="76"/>
      <c r="E183" s="77"/>
      <c r="F183" s="61"/>
      <c r="J183" s="61"/>
      <c r="M183" s="201">
        <f>SUM(M3:M182)</f>
        <v>0</v>
      </c>
    </row>
    <row r="184" spans="1:13" x14ac:dyDescent="0.45">
      <c r="F184" s="79"/>
      <c r="G184" s="72"/>
      <c r="J184" s="79"/>
      <c r="K184" s="92" t="s">
        <v>12</v>
      </c>
    </row>
    <row r="185" spans="1:13" x14ac:dyDescent="0.45">
      <c r="F185" s="79"/>
      <c r="G185" s="72"/>
      <c r="J185" s="79"/>
    </row>
    <row r="186" spans="1:13" x14ac:dyDescent="0.45">
      <c r="F186" s="79"/>
      <c r="G186" s="72"/>
      <c r="J186" s="79"/>
    </row>
    <row r="187" spans="1:13" x14ac:dyDescent="0.45">
      <c r="F187" s="79"/>
      <c r="G187" s="72"/>
      <c r="J187" s="79"/>
      <c r="K187" s="154"/>
    </row>
    <row r="188" spans="1:13" x14ac:dyDescent="0.45">
      <c r="F188" s="79"/>
      <c r="G188" s="72"/>
      <c r="J188" s="79"/>
      <c r="K188" s="154"/>
    </row>
    <row r="189" spans="1:13" x14ac:dyDescent="0.45">
      <c r="F189" s="79"/>
      <c r="G189" s="72"/>
      <c r="J189" s="79"/>
      <c r="K189" s="154"/>
    </row>
    <row r="190" spans="1:13" x14ac:dyDescent="0.45">
      <c r="F190" s="79"/>
      <c r="G190" s="72"/>
      <c r="J190" s="79"/>
      <c r="K190" s="154"/>
    </row>
    <row r="191" spans="1:13" x14ac:dyDescent="0.45">
      <c r="F191" s="79"/>
      <c r="G191" s="72"/>
      <c r="J191" s="79"/>
      <c r="K191" s="154"/>
    </row>
    <row r="192" spans="1:13" x14ac:dyDescent="0.45">
      <c r="F192" s="79"/>
      <c r="G192" s="72"/>
      <c r="J192" s="79"/>
      <c r="K192" s="154"/>
    </row>
    <row r="193" spans="6:11" x14ac:dyDescent="0.45">
      <c r="F193" s="79"/>
      <c r="G193" s="72"/>
      <c r="J193" s="79"/>
      <c r="K193" s="154"/>
    </row>
    <row r="194" spans="6:11" x14ac:dyDescent="0.45">
      <c r="F194" s="79"/>
      <c r="G194" s="72"/>
      <c r="J194" s="79"/>
      <c r="K194" s="154"/>
    </row>
    <row r="195" spans="6:11" x14ac:dyDescent="0.45">
      <c r="F195" s="79"/>
      <c r="G195" s="72"/>
      <c r="J195" s="79"/>
      <c r="K195" s="154"/>
    </row>
    <row r="196" spans="6:11" x14ac:dyDescent="0.45">
      <c r="F196" s="79"/>
      <c r="G196" s="72"/>
      <c r="J196" s="79"/>
      <c r="K196" s="154"/>
    </row>
    <row r="197" spans="6:11" x14ac:dyDescent="0.45">
      <c r="F197" s="79"/>
      <c r="G197" s="72"/>
      <c r="J197" s="79"/>
      <c r="K197" s="154"/>
    </row>
  </sheetData>
  <pageMargins left="0.31496062992125984" right="0.31496062992125984" top="0.94488188976377963" bottom="0.35433070866141736" header="0.31496062992125984" footer="0.31496062992125984"/>
  <pageSetup paperSize="9" scale="105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U189"/>
  <sheetViews>
    <sheetView zoomScale="90" zoomScaleNormal="90" workbookViewId="0">
      <pane xSplit="2" ySplit="17" topLeftCell="C86" activePane="bottomRight" state="frozen"/>
      <selection pane="topRight" activeCell="C1" sqref="C1"/>
      <selection pane="bottomLeft" activeCell="A18" sqref="A18"/>
      <selection pane="bottomRight" activeCell="M16" sqref="M16"/>
    </sheetView>
  </sheetViews>
  <sheetFormatPr baseColWidth="10" defaultRowHeight="14.25" x14ac:dyDescent="0.45"/>
  <cols>
    <col min="1" max="1" width="9.3984375" customWidth="1"/>
    <col min="2" max="2" width="6.73046875" style="6" customWidth="1"/>
    <col min="3" max="3" width="5.59765625" style="6" bestFit="1" customWidth="1"/>
    <col min="4" max="4" width="6.1328125" bestFit="1" customWidth="1"/>
    <col min="5" max="5" width="6.59765625" bestFit="1" customWidth="1"/>
    <col min="6" max="7" width="5.73046875" customWidth="1"/>
    <col min="8" max="8" width="6" bestFit="1" customWidth="1"/>
    <col min="9" max="9" width="6.1328125" bestFit="1" customWidth="1"/>
    <col min="10" max="10" width="5.73046875" customWidth="1"/>
    <col min="11" max="12" width="6.59765625" bestFit="1" customWidth="1"/>
    <col min="13" max="14" width="5.73046875" customWidth="1"/>
    <col min="15" max="15" width="6" bestFit="1" customWidth="1"/>
  </cols>
  <sheetData>
    <row r="1" spans="2:16" s="6" customFormat="1" x14ac:dyDescent="0.45">
      <c r="B1" s="46" t="s">
        <v>0</v>
      </c>
      <c r="C1" s="46" t="s">
        <v>1</v>
      </c>
      <c r="D1" s="46" t="s">
        <v>73</v>
      </c>
      <c r="E1" s="46" t="s">
        <v>74</v>
      </c>
      <c r="F1" s="46" t="s">
        <v>75</v>
      </c>
      <c r="G1" s="46" t="s">
        <v>76</v>
      </c>
      <c r="H1" s="46" t="s">
        <v>77</v>
      </c>
      <c r="I1" s="46" t="s">
        <v>78</v>
      </c>
      <c r="J1" s="46" t="s">
        <v>79</v>
      </c>
      <c r="K1" s="46" t="s">
        <v>80</v>
      </c>
      <c r="L1" s="46" t="s">
        <v>81</v>
      </c>
      <c r="M1" s="46" t="s">
        <v>82</v>
      </c>
      <c r="N1" s="46" t="s">
        <v>83</v>
      </c>
      <c r="O1" s="46" t="s">
        <v>84</v>
      </c>
      <c r="P1"/>
    </row>
    <row r="2" spans="2:16" x14ac:dyDescent="0.45">
      <c r="B2" s="46" t="s">
        <v>3</v>
      </c>
      <c r="C2" s="46">
        <v>101</v>
      </c>
      <c r="D2" s="41">
        <f>'Ene 25'!F3</f>
        <v>10.462</v>
      </c>
      <c r="E2" s="41">
        <f>'Feb 25'!F3</f>
        <v>12.979000000000001</v>
      </c>
      <c r="F2" s="41">
        <f>SUM('Mar 25'!F3)</f>
        <v>11.955</v>
      </c>
      <c r="G2" s="41">
        <f>SUM('Abr 25'!F3)</f>
        <v>13.086</v>
      </c>
      <c r="H2" s="41">
        <f>SUM('May 25'!F3)</f>
        <v>10.327</v>
      </c>
      <c r="I2" s="41">
        <f>SUM('Jun 25'!F3)</f>
        <v>10.034000000000001</v>
      </c>
      <c r="J2" s="41">
        <f>SUM('Jul 25'!F3)</f>
        <v>10.448</v>
      </c>
      <c r="K2" s="41">
        <f>SUM('Ago 25'!F3)</f>
        <v>10.307</v>
      </c>
      <c r="L2" s="41">
        <f>SUM('Sep 25'!F3)</f>
        <v>12.449</v>
      </c>
      <c r="M2" s="41">
        <f>SUM('Oct 25'!F3)</f>
        <v>12.449</v>
      </c>
      <c r="N2" s="41">
        <f>SUM('Nov 25'!F3)</f>
        <v>12.966000000000001</v>
      </c>
      <c r="O2" s="41">
        <f>SUM('Dic 25'!F3)</f>
        <v>14.314</v>
      </c>
    </row>
    <row r="3" spans="2:16" x14ac:dyDescent="0.45">
      <c r="B3" s="46" t="s">
        <v>3</v>
      </c>
      <c r="C3" s="46">
        <v>102</v>
      </c>
      <c r="D3" s="41">
        <f>'Ene 25'!F4</f>
        <v>9.0830000000000002</v>
      </c>
      <c r="E3" s="41">
        <f>'Feb 25'!F4</f>
        <v>11.500999999999999</v>
      </c>
      <c r="F3" s="41">
        <f>SUM('Mar 25'!F4)</f>
        <v>8.9250000000000007</v>
      </c>
      <c r="G3" s="41">
        <f>SUM('Abr 25'!F4)</f>
        <v>10.507</v>
      </c>
      <c r="H3" s="41">
        <f>SUM('May 25'!F4)</f>
        <v>8.5909999999999993</v>
      </c>
      <c r="I3" s="41">
        <f>SUM('Jun 25'!F4)</f>
        <v>9.5410000000000004</v>
      </c>
      <c r="J3" s="41">
        <f>SUM('Jul 25'!F4)</f>
        <v>9.838000000000001</v>
      </c>
      <c r="K3" s="41">
        <f>SUM('Ago 25'!F4)</f>
        <v>9.4649999999999999</v>
      </c>
      <c r="L3" s="41">
        <f>SUM('Sep 25'!F4)</f>
        <v>9.6080000000000005</v>
      </c>
      <c r="M3" s="41">
        <f>SUM('Oct 25'!F4)</f>
        <v>9.6080000000000005</v>
      </c>
      <c r="N3" s="41">
        <f>SUM('Nov 25'!F4)</f>
        <v>8.9429999999999996</v>
      </c>
      <c r="O3" s="41">
        <f>SUM('Dic 25'!F4)</f>
        <v>53.564999999999998</v>
      </c>
    </row>
    <row r="4" spans="2:16" x14ac:dyDescent="0.45">
      <c r="B4" s="46" t="s">
        <v>3</v>
      </c>
      <c r="C4" s="46">
        <v>103</v>
      </c>
      <c r="D4" s="41">
        <f>'Ene 25'!F5</f>
        <v>11.004</v>
      </c>
      <c r="E4" s="41">
        <f>'Feb 25'!F5</f>
        <v>10.050000000000001</v>
      </c>
      <c r="F4" s="41">
        <f>SUM('Mar 25'!F5)</f>
        <v>9.5440000000000005</v>
      </c>
      <c r="G4" s="41">
        <f>SUM('Abr 25'!F5)</f>
        <v>11.292</v>
      </c>
      <c r="H4" s="41">
        <f>SUM('May 25'!F5)</f>
        <v>10.048</v>
      </c>
      <c r="I4" s="41">
        <f>SUM('Jun 25'!F5)</f>
        <v>10.589</v>
      </c>
      <c r="J4" s="41">
        <f>SUM('Jul 25'!F5)</f>
        <v>10.734</v>
      </c>
      <c r="K4" s="41">
        <f>SUM('Ago 25'!F5)</f>
        <v>9.5169999999999995</v>
      </c>
      <c r="L4" s="41">
        <f>SUM('Sep 25'!F5)</f>
        <v>10.509</v>
      </c>
      <c r="M4" s="41">
        <f>SUM('Oct 25'!F5)</f>
        <v>10.509</v>
      </c>
      <c r="N4" s="41">
        <f>SUM('Nov 25'!F5)</f>
        <v>10.807</v>
      </c>
      <c r="O4" s="41">
        <f>SUM('Dic 25'!F5)</f>
        <v>9.3190000000000008</v>
      </c>
    </row>
    <row r="5" spans="2:16" x14ac:dyDescent="0.45">
      <c r="B5" s="46" t="s">
        <v>3</v>
      </c>
      <c r="C5" s="46">
        <v>104</v>
      </c>
      <c r="D5" s="41">
        <f>'Ene 25'!F6</f>
        <v>13.547000000000001</v>
      </c>
      <c r="E5" s="41">
        <f>'Feb 25'!F6</f>
        <v>7.2679999999999998</v>
      </c>
      <c r="F5" s="41">
        <f>SUM('Mar 25'!F6)</f>
        <v>7.8520000000000003</v>
      </c>
      <c r="G5" s="41">
        <f>SUM('Abr 25'!F6)</f>
        <v>13.912000000000001</v>
      </c>
      <c r="H5" s="41">
        <f>SUM('May 25'!F6)</f>
        <v>13.967000000000001</v>
      </c>
      <c r="I5" s="41">
        <f>SUM('Jun 25'!F6)</f>
        <v>11.311999999999999</v>
      </c>
      <c r="J5" s="41">
        <f>SUM('Jul 25'!F6)</f>
        <v>11.225</v>
      </c>
      <c r="K5" s="41">
        <f>SUM('Ago 25'!F6)</f>
        <v>10.907999999999999</v>
      </c>
      <c r="L5" s="41">
        <f>SUM('Sep 25'!F6)</f>
        <v>9.8620000000000001</v>
      </c>
      <c r="M5" s="41">
        <f>SUM('Oct 25'!F6)</f>
        <v>9.8620000000000001</v>
      </c>
      <c r="N5" s="41">
        <f>SUM('Nov 25'!F6)</f>
        <v>11.286</v>
      </c>
      <c r="O5" s="41">
        <f>SUM('Dic 25'!F6)</f>
        <v>11.53</v>
      </c>
    </row>
    <row r="6" spans="2:16" x14ac:dyDescent="0.45">
      <c r="B6" s="46" t="s">
        <v>3</v>
      </c>
      <c r="C6" s="46">
        <v>201</v>
      </c>
      <c r="D6" s="41">
        <f>'Ene 25'!F7</f>
        <v>14.807</v>
      </c>
      <c r="E6" s="41">
        <f>'Feb 25'!F7</f>
        <v>10.105</v>
      </c>
      <c r="F6" s="41">
        <f>SUM('Mar 25'!F7)</f>
        <v>14.572000000000001</v>
      </c>
      <c r="G6" s="41">
        <f>SUM('Abr 25'!F7)</f>
        <v>19.869</v>
      </c>
      <c r="H6" s="41">
        <f>SUM('May 25'!F7)</f>
        <v>16.088999999999999</v>
      </c>
      <c r="I6" s="41">
        <f>SUM('Jun 25'!F7)</f>
        <v>21.080000000000002</v>
      </c>
      <c r="J6" s="41">
        <f>SUM('Jul 25'!F7)</f>
        <v>19.219000000000001</v>
      </c>
      <c r="K6" s="41">
        <f>SUM('Ago 25'!F7)</f>
        <v>13.438000000000001</v>
      </c>
      <c r="L6" s="41">
        <f>SUM('Sep 25'!F7)</f>
        <v>16.343</v>
      </c>
      <c r="M6" s="41">
        <f>SUM('Oct 25'!F7)</f>
        <v>16.343</v>
      </c>
      <c r="N6" s="41">
        <f>SUM('Nov 25'!F7)</f>
        <v>16.623999999999999</v>
      </c>
      <c r="O6" s="41">
        <f>SUM('Dic 25'!F7)</f>
        <v>15.709</v>
      </c>
    </row>
    <row r="7" spans="2:16" x14ac:dyDescent="0.45">
      <c r="B7" s="46" t="s">
        <v>3</v>
      </c>
      <c r="C7" s="46">
        <v>202</v>
      </c>
      <c r="D7" s="41">
        <f>'Ene 25'!F8</f>
        <v>15.268000000000001</v>
      </c>
      <c r="E7" s="41">
        <f>'Feb 25'!F8</f>
        <v>19.065999999999999</v>
      </c>
      <c r="F7" s="41">
        <f>SUM('Mar 25'!F8)</f>
        <v>15.368</v>
      </c>
      <c r="G7" s="41">
        <f>SUM('Abr 25'!F8)</f>
        <v>20.207000000000001</v>
      </c>
      <c r="H7" s="41">
        <f>SUM('May 25'!F8)</f>
        <v>16.850000000000001</v>
      </c>
      <c r="I7" s="41">
        <f>SUM('Jun 25'!F8)</f>
        <v>16.832000000000001</v>
      </c>
      <c r="J7" s="41">
        <f>SUM('Jul 25'!F8)</f>
        <v>16.056000000000001</v>
      </c>
      <c r="K7" s="41">
        <f>SUM('Ago 25'!F8)</f>
        <v>16.426000000000002</v>
      </c>
      <c r="L7" s="41">
        <f>SUM('Sep 25'!F8)</f>
        <v>17.358000000000001</v>
      </c>
      <c r="M7" s="41">
        <f>SUM('Oct 25'!F8)</f>
        <v>17.358000000000001</v>
      </c>
      <c r="N7" s="41">
        <f>SUM('Nov 25'!F8)</f>
        <v>19.231999999999999</v>
      </c>
      <c r="O7" s="41">
        <f>SUM('Dic 25'!F8)</f>
        <v>15.393000000000001</v>
      </c>
    </row>
    <row r="8" spans="2:16" x14ac:dyDescent="0.45">
      <c r="B8" s="46" t="s">
        <v>3</v>
      </c>
      <c r="C8" s="46">
        <v>203</v>
      </c>
      <c r="D8" s="41">
        <f>'Ene 25'!F9</f>
        <v>26.271000000000001</v>
      </c>
      <c r="E8" s="41">
        <f>'Feb 25'!F9</f>
        <v>23.408999999999999</v>
      </c>
      <c r="F8" s="41">
        <f>SUM('Mar 25'!F9)</f>
        <v>19.870999999999999</v>
      </c>
      <c r="G8" s="41">
        <f>SUM('Abr 25'!F9)</f>
        <v>23.669</v>
      </c>
      <c r="H8" s="41">
        <f>SUM('May 25'!F9)</f>
        <v>21.478000000000002</v>
      </c>
      <c r="I8" s="41">
        <f>SUM('Jun 25'!F9)</f>
        <v>22.495000000000001</v>
      </c>
      <c r="J8" s="41">
        <f>SUM('Jul 25'!F9)</f>
        <v>24.112000000000002</v>
      </c>
      <c r="K8" s="41">
        <f>SUM('Ago 25'!F9)</f>
        <v>18.097999999999999</v>
      </c>
      <c r="L8" s="41">
        <f>SUM('Sep 25'!F9)</f>
        <v>20.614000000000001</v>
      </c>
      <c r="M8" s="41">
        <f>SUM('Oct 25'!F9)</f>
        <v>20.614000000000001</v>
      </c>
      <c r="N8" s="41">
        <f>SUM('Nov 25'!F9)</f>
        <v>23.114000000000001</v>
      </c>
      <c r="O8" s="41">
        <f>SUM('Dic 25'!F9)</f>
        <v>17.788</v>
      </c>
    </row>
    <row r="9" spans="2:16" x14ac:dyDescent="0.45">
      <c r="B9" s="46" t="s">
        <v>3</v>
      </c>
      <c r="C9" s="46">
        <v>204</v>
      </c>
      <c r="D9" s="41">
        <f>'Ene 25'!F10</f>
        <v>14.575000000000001</v>
      </c>
      <c r="E9" s="41">
        <f>'Feb 25'!F10</f>
        <v>15.47</v>
      </c>
      <c r="F9" s="41">
        <f>SUM('Mar 25'!F10)</f>
        <v>11.566000000000001</v>
      </c>
      <c r="G9" s="41">
        <f>SUM('Abr 25'!F10)</f>
        <v>13.507</v>
      </c>
      <c r="H9" s="41">
        <f>SUM('May 25'!F10)</f>
        <v>15.673999999999999</v>
      </c>
      <c r="I9" s="41">
        <f>SUM('Jun 25'!F10)</f>
        <v>13.563000000000001</v>
      </c>
      <c r="J9" s="41">
        <f>SUM('Jul 25'!F10)</f>
        <v>12.673999999999999</v>
      </c>
      <c r="K9" s="41">
        <f>SUM('Ago 25'!F10)</f>
        <v>12.922000000000001</v>
      </c>
      <c r="L9" s="41">
        <f>SUM('Sep 25'!F10)</f>
        <v>20.815999999999999</v>
      </c>
      <c r="M9" s="41">
        <f>SUM('Oct 25'!F10)</f>
        <v>20.815999999999999</v>
      </c>
      <c r="N9" s="41">
        <f>SUM('Nov 25'!F10)</f>
        <v>10.111000000000001</v>
      </c>
      <c r="O9" s="41">
        <f>SUM('Dic 25'!F10)</f>
        <v>9.0640000000000001</v>
      </c>
    </row>
    <row r="10" spans="2:16" x14ac:dyDescent="0.45">
      <c r="B10" s="46" t="s">
        <v>3</v>
      </c>
      <c r="C10" s="46">
        <v>301</v>
      </c>
      <c r="D10" s="41">
        <f>'Ene 25'!F11</f>
        <v>0.46700000000000003</v>
      </c>
      <c r="E10" s="41">
        <f>'Feb 25'!F11</f>
        <v>1.4E-2</v>
      </c>
      <c r="F10" s="41">
        <f>SUM('Mar 25'!F11)</f>
        <v>0</v>
      </c>
      <c r="G10" s="41">
        <f>SUM('Abr 25'!F11)</f>
        <v>0.85899999999999999</v>
      </c>
      <c r="H10" s="41">
        <f>SUM('May 25'!F11)</f>
        <v>9.0000000000000011E-3</v>
      </c>
      <c r="I10" s="41">
        <f>SUM('Jun 25'!F11)</f>
        <v>0</v>
      </c>
      <c r="J10" s="41">
        <f>SUM('Jul 25'!F11)</f>
        <v>5.5030000000000001</v>
      </c>
      <c r="K10" s="41">
        <f>SUM('Ago 25'!F11)</f>
        <v>27.243000000000002</v>
      </c>
      <c r="L10" s="41">
        <f>SUM('Sep 25'!F11)</f>
        <v>26.97</v>
      </c>
      <c r="M10" s="41">
        <f>SUM('Oct 25'!F11)</f>
        <v>26.97</v>
      </c>
      <c r="N10" s="41">
        <f>SUM('Nov 25'!F11)</f>
        <v>31.491</v>
      </c>
      <c r="O10" s="41">
        <f>SUM('Dic 25'!F11)</f>
        <v>26.48</v>
      </c>
    </row>
    <row r="11" spans="2:16" x14ac:dyDescent="0.45">
      <c r="B11" s="46" t="s">
        <v>3</v>
      </c>
      <c r="C11" s="46">
        <v>302</v>
      </c>
      <c r="D11" s="41">
        <f>'Ene 25'!F12</f>
        <v>25.426000000000002</v>
      </c>
      <c r="E11" s="41">
        <f>'Feb 25'!F12</f>
        <v>24.429000000000002</v>
      </c>
      <c r="F11" s="41">
        <f>SUM('Mar 25'!F12)</f>
        <v>23.689</v>
      </c>
      <c r="G11" s="41">
        <f>SUM('Abr 25'!F12)</f>
        <v>33.32</v>
      </c>
      <c r="H11" s="41">
        <f>SUM('May 25'!F12)</f>
        <v>26.074000000000002</v>
      </c>
      <c r="I11" s="41">
        <f>SUM('Jun 25'!F12)</f>
        <v>22.977</v>
      </c>
      <c r="J11" s="41">
        <f>SUM('Jul 25'!F12)</f>
        <v>21.152000000000001</v>
      </c>
      <c r="K11" s="41">
        <f>SUM('Ago 25'!F12)</f>
        <v>20.365000000000002</v>
      </c>
      <c r="L11" s="41">
        <f>SUM('Sep 25'!F12)</f>
        <v>24.039000000000001</v>
      </c>
      <c r="M11" s="41">
        <f>SUM('Oct 25'!F12)</f>
        <v>24.039000000000001</v>
      </c>
      <c r="N11" s="41">
        <f>SUM('Nov 25'!F12)</f>
        <v>27.361000000000001</v>
      </c>
      <c r="O11" s="41">
        <f>SUM('Dic 25'!F12)</f>
        <v>23.452000000000002</v>
      </c>
    </row>
    <row r="12" spans="2:16" x14ac:dyDescent="0.45">
      <c r="B12" s="46" t="s">
        <v>3</v>
      </c>
      <c r="C12" s="46">
        <v>303</v>
      </c>
      <c r="D12" s="41">
        <f>'Ene 25'!F13</f>
        <v>11.712</v>
      </c>
      <c r="E12" s="41">
        <f>'Feb 25'!F13</f>
        <v>13.061999999999999</v>
      </c>
      <c r="F12" s="41">
        <f>SUM('Mar 25'!F13)</f>
        <v>22.728000000000002</v>
      </c>
      <c r="G12" s="41">
        <f>SUM('Abr 25'!F13)</f>
        <v>18.771000000000001</v>
      </c>
      <c r="H12" s="41">
        <f>SUM('May 25'!F13)</f>
        <v>15.215</v>
      </c>
      <c r="I12" s="41">
        <f>SUM('Jun 25'!F13)</f>
        <v>17.849</v>
      </c>
      <c r="J12" s="41">
        <f>SUM('Jul 25'!F13)</f>
        <v>18.498999999999999</v>
      </c>
      <c r="K12" s="41">
        <f>SUM('Ago 25'!F13)</f>
        <v>13.667</v>
      </c>
      <c r="L12" s="41">
        <f>SUM('Sep 25'!F13)</f>
        <v>14.266</v>
      </c>
      <c r="M12" s="41">
        <f>SUM('Oct 25'!F13)</f>
        <v>14.266</v>
      </c>
      <c r="N12" s="41">
        <f>SUM('Nov 25'!F13)</f>
        <v>15.708</v>
      </c>
      <c r="O12" s="41">
        <f>SUM('Dic 25'!F13)</f>
        <v>16.826000000000001</v>
      </c>
    </row>
    <row r="13" spans="2:16" x14ac:dyDescent="0.45">
      <c r="B13" s="46" t="s">
        <v>3</v>
      </c>
      <c r="C13" s="46">
        <v>304</v>
      </c>
      <c r="D13" s="41">
        <f>'Ene 25'!F14</f>
        <v>11.345000000000001</v>
      </c>
      <c r="E13" s="41">
        <f>'Feb 25'!F14</f>
        <v>10.68</v>
      </c>
      <c r="F13" s="41">
        <f>SUM('Mar 25'!F14)</f>
        <v>13.981</v>
      </c>
      <c r="G13" s="41">
        <f>SUM('Abr 25'!F14)</f>
        <v>13.372</v>
      </c>
      <c r="H13" s="41">
        <f>SUM('May 25'!F14)</f>
        <v>10.42</v>
      </c>
      <c r="I13" s="41">
        <f>SUM('Jun 25'!F14)</f>
        <v>6.5869999999999997</v>
      </c>
      <c r="J13" s="41">
        <f>SUM('Jul 25'!F14)</f>
        <v>15.284000000000001</v>
      </c>
      <c r="K13" s="41">
        <f>SUM('Ago 25'!F14)</f>
        <v>15.896000000000001</v>
      </c>
      <c r="L13" s="41">
        <f>SUM('Sep 25'!F14)</f>
        <v>14.625999999999999</v>
      </c>
      <c r="M13" s="41">
        <f>SUM('Oct 25'!F14)</f>
        <v>14.625999999999999</v>
      </c>
      <c r="N13" s="41">
        <f>SUM('Nov 25'!F14)</f>
        <v>27.416</v>
      </c>
      <c r="O13" s="41">
        <f>SUM('Dic 25'!F14)</f>
        <v>28.128</v>
      </c>
    </row>
    <row r="14" spans="2:16" x14ac:dyDescent="0.45">
      <c r="B14" s="46" t="s">
        <v>3</v>
      </c>
      <c r="C14" s="46">
        <v>401</v>
      </c>
      <c r="D14" s="41">
        <f>'Ene 25'!F15</f>
        <v>7.2090000000000005</v>
      </c>
      <c r="E14" s="41">
        <f>'Feb 25'!F15</f>
        <v>4.8230000000000004</v>
      </c>
      <c r="F14" s="41">
        <f>SUM('Mar 25'!F15)</f>
        <v>10.761000000000001</v>
      </c>
      <c r="G14" s="41">
        <f>SUM('Abr 25'!F15)</f>
        <v>6.4750000000000005</v>
      </c>
      <c r="H14" s="41">
        <f>SUM('May 25'!F15)</f>
        <v>3.9780000000000002</v>
      </c>
      <c r="I14" s="41">
        <f>SUM('Jun 25'!F15)</f>
        <v>6.9770000000000003</v>
      </c>
      <c r="J14" s="41">
        <f>SUM('Jul 25'!F15)</f>
        <v>4.9009999999999998</v>
      </c>
      <c r="K14" s="41">
        <f>SUM('Ago 25'!F15)</f>
        <v>6.2720000000000002</v>
      </c>
      <c r="L14" s="41">
        <f>SUM('Sep 25'!F15)</f>
        <v>5.9450000000000003</v>
      </c>
      <c r="M14" s="41">
        <f>SUM('Oct 25'!F15)</f>
        <v>5.9450000000000003</v>
      </c>
      <c r="N14" s="41">
        <f>SUM('Nov 25'!F15)</f>
        <v>5.5019999999999998</v>
      </c>
      <c r="O14" s="41">
        <f>SUM('Dic 25'!F15)</f>
        <v>2.1280000000000001</v>
      </c>
    </row>
    <row r="15" spans="2:16" x14ac:dyDescent="0.45">
      <c r="B15" s="46" t="s">
        <v>3</v>
      </c>
      <c r="C15" s="46">
        <v>402</v>
      </c>
      <c r="D15" s="41">
        <f>'Ene 25'!F16</f>
        <v>4.1710000000000003</v>
      </c>
      <c r="E15" s="41">
        <f>'Feb 25'!F16</f>
        <v>12.947000000000001</v>
      </c>
      <c r="F15" s="41">
        <f>SUM('Mar 25'!F16)</f>
        <v>1.3820000000000001</v>
      </c>
      <c r="G15" s="41">
        <f>SUM('Abr 25'!F16)</f>
        <v>17.178000000000001</v>
      </c>
      <c r="H15" s="41">
        <f>SUM('May 25'!F16)</f>
        <v>12.264000000000001</v>
      </c>
      <c r="I15" s="41">
        <f>SUM('Jun 25'!F16)</f>
        <v>11.46</v>
      </c>
      <c r="J15" s="41">
        <f>SUM('Jul 25'!F16)</f>
        <v>12.067</v>
      </c>
      <c r="K15" s="41">
        <f>SUM('Ago 25'!F16)</f>
        <v>7.8849999999999998</v>
      </c>
      <c r="L15" s="41">
        <f>SUM('Sep 25'!F16)</f>
        <v>10.159000000000001</v>
      </c>
      <c r="M15" s="41">
        <f>SUM('Oct 25'!F16)</f>
        <v>10.159000000000001</v>
      </c>
      <c r="N15" s="41">
        <f>SUM('Nov 25'!F16)</f>
        <v>5.819</v>
      </c>
      <c r="O15" s="41">
        <f>SUM('Dic 25'!F16)</f>
        <v>5.4619999999999997</v>
      </c>
    </row>
    <row r="16" spans="2:16" x14ac:dyDescent="0.45">
      <c r="B16" s="46" t="s">
        <v>3</v>
      </c>
      <c r="C16" s="46">
        <v>403</v>
      </c>
      <c r="D16" s="41">
        <f>'Ene 25'!F17</f>
        <v>10.864000000000001</v>
      </c>
      <c r="E16" s="41">
        <f>'Feb 25'!F17</f>
        <v>10.443</v>
      </c>
      <c r="F16" s="41">
        <f>SUM('Mar 25'!F17)</f>
        <v>10.236000000000001</v>
      </c>
      <c r="G16" s="41">
        <f>SUM('Abr 25'!F17)</f>
        <v>8.495000000000001</v>
      </c>
      <c r="H16" s="41">
        <f>SUM('May 25'!F17)</f>
        <v>10.795</v>
      </c>
      <c r="I16" s="41">
        <f>SUM('Jun 25'!F17)</f>
        <v>10.326000000000001</v>
      </c>
      <c r="J16" s="41">
        <f>SUM('Jul 25'!F17)</f>
        <v>9.6950000000000003</v>
      </c>
      <c r="K16" s="41">
        <f>SUM('Ago 25'!F17)</f>
        <v>10.8</v>
      </c>
      <c r="L16" s="41">
        <f>SUM('Sep 25'!F17)</f>
        <v>11.334</v>
      </c>
      <c r="M16" s="41">
        <f>SUM('Oct 25'!F17)</f>
        <v>11.334</v>
      </c>
      <c r="N16" s="41">
        <f>SUM('Nov 25'!F17)</f>
        <v>9.0000000000000011E-3</v>
      </c>
      <c r="O16" s="41">
        <f>SUM('Dic 25'!F17)</f>
        <v>0.374</v>
      </c>
    </row>
    <row r="17" spans="2:15" x14ac:dyDescent="0.45">
      <c r="B17" s="46" t="s">
        <v>3</v>
      </c>
      <c r="C17" s="46">
        <v>404</v>
      </c>
      <c r="D17" s="41">
        <f>'Ene 25'!F18</f>
        <v>16.961000000000002</v>
      </c>
      <c r="E17" s="41">
        <f>'Feb 25'!F18</f>
        <v>15.952</v>
      </c>
      <c r="F17" s="41">
        <f>SUM('Mar 25'!F18)</f>
        <v>15.127000000000001</v>
      </c>
      <c r="G17" s="41">
        <f>SUM('Abr 25'!F18)</f>
        <v>18.670999999999999</v>
      </c>
      <c r="H17" s="41">
        <f>SUM('May 25'!F18)</f>
        <v>15.944000000000001</v>
      </c>
      <c r="I17" s="41">
        <f>SUM('Jun 25'!F18)</f>
        <v>14.479000000000001</v>
      </c>
      <c r="J17" s="41">
        <f>SUM('Jul 25'!F18)</f>
        <v>13.742000000000001</v>
      </c>
      <c r="K17" s="41">
        <f>SUM('Ago 25'!F18)</f>
        <v>10.891</v>
      </c>
      <c r="L17" s="41">
        <f>SUM('Sep 25'!F18)</f>
        <v>11.231</v>
      </c>
      <c r="M17" s="41">
        <f>SUM('Oct 25'!F18)</f>
        <v>11.231</v>
      </c>
      <c r="N17" s="41">
        <f>SUM('Nov 25'!F18)</f>
        <v>11.963000000000001</v>
      </c>
      <c r="O17" s="41">
        <f>SUM('Dic 25'!F18)</f>
        <v>11.096</v>
      </c>
    </row>
    <row r="18" spans="2:15" x14ac:dyDescent="0.45">
      <c r="B18" s="46" t="s">
        <v>3</v>
      </c>
      <c r="C18" s="46">
        <v>501</v>
      </c>
      <c r="D18" s="41">
        <f>'Ene 25'!F19</f>
        <v>22.497</v>
      </c>
      <c r="E18" s="41">
        <f>'Feb 25'!F19</f>
        <v>16.803000000000001</v>
      </c>
      <c r="F18" s="41">
        <f>SUM('Mar 25'!F19)</f>
        <v>15.926</v>
      </c>
      <c r="G18" s="41">
        <f>SUM('Abr 25'!F19)</f>
        <v>19.867000000000001</v>
      </c>
      <c r="H18" s="41">
        <f>SUM('May 25'!F19)</f>
        <v>22.082000000000001</v>
      </c>
      <c r="I18" s="41">
        <f>SUM('Jun 25'!F19)</f>
        <v>21.301000000000002</v>
      </c>
      <c r="J18" s="41">
        <f>SUM('Jul 25'!F19)</f>
        <v>20.240000000000002</v>
      </c>
      <c r="K18" s="41">
        <f>SUM('Ago 25'!F19)</f>
        <v>22.067</v>
      </c>
      <c r="L18" s="41">
        <f>SUM('Sep 25'!F19)</f>
        <v>20.503</v>
      </c>
      <c r="M18" s="41">
        <f>SUM('Oct 25'!F19)</f>
        <v>20.503</v>
      </c>
      <c r="N18" s="41">
        <f>SUM('Nov 25'!F19)</f>
        <v>22.693000000000001</v>
      </c>
      <c r="O18" s="41">
        <f>SUM('Dic 25'!F19)</f>
        <v>22.913</v>
      </c>
    </row>
    <row r="19" spans="2:15" x14ac:dyDescent="0.45">
      <c r="B19" s="46" t="s">
        <v>3</v>
      </c>
      <c r="C19" s="46">
        <v>502</v>
      </c>
      <c r="D19" s="41">
        <f>'Ene 25'!F20</f>
        <v>25.157</v>
      </c>
      <c r="E19" s="41">
        <f>'Feb 25'!F20</f>
        <v>31.292999999999999</v>
      </c>
      <c r="F19" s="41">
        <f>SUM('Mar 25'!F20)</f>
        <v>36.238</v>
      </c>
      <c r="G19" s="41">
        <f>SUM('Abr 25'!F20)</f>
        <v>42.422000000000004</v>
      </c>
      <c r="H19" s="41">
        <f>SUM('May 25'!F20)</f>
        <v>38.823</v>
      </c>
      <c r="I19" s="41">
        <f>SUM('Jun 25'!F20)</f>
        <v>33.728000000000002</v>
      </c>
      <c r="J19" s="41">
        <f>SUM('Jul 25'!F20)</f>
        <v>40.358000000000004</v>
      </c>
      <c r="K19" s="41">
        <f>SUM('Ago 25'!F20)</f>
        <v>34.715000000000003</v>
      </c>
      <c r="L19" s="41">
        <f>SUM('Sep 25'!F20)</f>
        <v>51.844000000000001</v>
      </c>
      <c r="M19" s="41">
        <f>SUM('Oct 25'!F20)</f>
        <v>51.844000000000001</v>
      </c>
      <c r="N19" s="41">
        <f>SUM('Nov 25'!F20)</f>
        <v>36.332000000000001</v>
      </c>
      <c r="O19" s="41">
        <f>SUM('Dic 25'!F20)</f>
        <v>32.378</v>
      </c>
    </row>
    <row r="20" spans="2:15" x14ac:dyDescent="0.45">
      <c r="B20" s="46" t="s">
        <v>3</v>
      </c>
      <c r="C20" s="46">
        <v>503</v>
      </c>
      <c r="D20" s="41">
        <f>'Ene 25'!F21</f>
        <v>12.938000000000001</v>
      </c>
      <c r="E20" s="41">
        <f>'Feb 25'!F21</f>
        <v>13.09</v>
      </c>
      <c r="F20" s="41">
        <f>SUM('Mar 25'!F21)</f>
        <v>14.486000000000001</v>
      </c>
      <c r="G20" s="41">
        <f>SUM('Abr 25'!F21)</f>
        <v>16.823</v>
      </c>
      <c r="H20" s="41">
        <f>SUM('May 25'!F21)</f>
        <v>16.760999999999999</v>
      </c>
      <c r="I20" s="41">
        <f>SUM('Jun 25'!F21)</f>
        <v>19</v>
      </c>
      <c r="J20" s="41">
        <f>SUM('Jul 25'!F21)</f>
        <v>22.451000000000001</v>
      </c>
      <c r="K20" s="41">
        <f>SUM('Ago 25'!F21)</f>
        <v>24.344000000000001</v>
      </c>
      <c r="L20" s="41">
        <f>SUM('Sep 25'!F21)</f>
        <v>22.443999999999999</v>
      </c>
      <c r="M20" s="41">
        <f>SUM('Oct 25'!F21)</f>
        <v>22.443999999999999</v>
      </c>
      <c r="N20" s="41">
        <f>SUM('Nov 25'!F21)</f>
        <v>21.701000000000001</v>
      </c>
      <c r="O20" s="41">
        <f>SUM('Dic 25'!F21)</f>
        <v>23.423000000000002</v>
      </c>
    </row>
    <row r="21" spans="2:15" x14ac:dyDescent="0.45">
      <c r="B21" s="46" t="s">
        <v>3</v>
      </c>
      <c r="C21" s="46">
        <v>504</v>
      </c>
      <c r="D21" s="41">
        <f>'Ene 25'!F22</f>
        <v>3.1850000000000001</v>
      </c>
      <c r="E21" s="41">
        <f>'Feb 25'!F22</f>
        <v>1.4830000000000001</v>
      </c>
      <c r="F21" s="41">
        <f>SUM('Mar 25'!F22)</f>
        <v>1.101</v>
      </c>
      <c r="G21" s="41">
        <f>SUM('Abr 25'!F22)</f>
        <v>2.1470000000000002</v>
      </c>
      <c r="H21" s="41">
        <f>SUM('May 25'!F22)</f>
        <v>2.2189999999999999</v>
      </c>
      <c r="I21" s="41">
        <f>SUM('Jun 25'!F22)</f>
        <v>2.9910000000000001</v>
      </c>
      <c r="J21" s="41">
        <f>SUM('Jul 25'!F22)</f>
        <v>3.2789999999999999</v>
      </c>
      <c r="K21" s="41">
        <f>SUM('Ago 25'!F22)</f>
        <v>2.2250000000000001</v>
      </c>
      <c r="L21" s="41">
        <f>SUM('Sep 25'!F22)</f>
        <v>1.663</v>
      </c>
      <c r="M21" s="41">
        <f>SUM('Oct 25'!F22)</f>
        <v>1.663</v>
      </c>
      <c r="N21" s="41">
        <f>SUM('Nov 25'!F22)</f>
        <v>3.6890000000000001</v>
      </c>
      <c r="O21" s="41">
        <f>SUM('Dic 25'!F22)</f>
        <v>3.3820000000000001</v>
      </c>
    </row>
    <row r="22" spans="2:15" x14ac:dyDescent="0.45">
      <c r="B22" s="46" t="s">
        <v>4</v>
      </c>
      <c r="C22" s="46">
        <v>101</v>
      </c>
      <c r="D22" s="41">
        <f>'Ene 25'!F23</f>
        <v>12.51</v>
      </c>
      <c r="E22" s="41">
        <f>'Feb 25'!F23</f>
        <v>9.94</v>
      </c>
      <c r="F22" s="41">
        <f>SUM('Mar 25'!F23)</f>
        <v>12.11</v>
      </c>
      <c r="G22" s="41">
        <f>SUM('Abr 25'!F23)</f>
        <v>12.44</v>
      </c>
      <c r="H22" s="41">
        <f>SUM('May 25'!F23)</f>
        <v>10.01</v>
      </c>
      <c r="I22" s="41">
        <f>SUM('Jun 25'!F23)</f>
        <v>8.57</v>
      </c>
      <c r="J22" s="41">
        <f>SUM('Jul 25'!F23)</f>
        <v>10.02</v>
      </c>
      <c r="K22" s="41">
        <f>SUM('Ago 25'!F23)</f>
        <v>10.14</v>
      </c>
      <c r="L22" s="41">
        <f>SUM('Sep 25'!F23)</f>
        <v>10.4</v>
      </c>
      <c r="M22" s="41">
        <f>SUM('Oct 25'!F23)</f>
        <v>10.4</v>
      </c>
      <c r="N22" s="41">
        <f>SUM('Nov 25'!F23)</f>
        <v>10.210000000000001</v>
      </c>
      <c r="O22" s="41">
        <f>SUM('Dic 25'!F23)</f>
        <v>9.06</v>
      </c>
    </row>
    <row r="23" spans="2:15" x14ac:dyDescent="0.45">
      <c r="B23" s="46" t="s">
        <v>4</v>
      </c>
      <c r="C23" s="46">
        <v>102</v>
      </c>
      <c r="D23" s="41">
        <f>'Ene 25'!F24</f>
        <v>37.015000000000001</v>
      </c>
      <c r="E23" s="41">
        <f>'Feb 25'!F24</f>
        <v>27.757999999999999</v>
      </c>
      <c r="F23" s="41">
        <f>SUM('Mar 25'!F24)</f>
        <v>21.37</v>
      </c>
      <c r="G23" s="41">
        <f>SUM('Abr 25'!F24)</f>
        <v>23.138000000000002</v>
      </c>
      <c r="H23" s="41">
        <f>SUM('May 25'!F24)</f>
        <v>17.649000000000001</v>
      </c>
      <c r="I23" s="41">
        <f>SUM('Jun 25'!F24)</f>
        <v>24.516000000000002</v>
      </c>
      <c r="J23" s="41">
        <f>SUM('Jul 25'!F24)</f>
        <v>21.786000000000001</v>
      </c>
      <c r="K23" s="41">
        <f>SUM('Ago 25'!F24)</f>
        <v>23.144000000000002</v>
      </c>
      <c r="L23" s="41">
        <f>SUM('Sep 25'!F24)</f>
        <v>25.521000000000001</v>
      </c>
      <c r="M23" s="41">
        <f>SUM('Oct 25'!F24)</f>
        <v>25.521000000000001</v>
      </c>
      <c r="N23" s="41">
        <f>SUM('Nov 25'!F24)</f>
        <v>27.201000000000001</v>
      </c>
      <c r="O23" s="41">
        <f>SUM('Dic 25'!F24)</f>
        <v>18.855</v>
      </c>
    </row>
    <row r="24" spans="2:15" x14ac:dyDescent="0.45">
      <c r="B24" s="46" t="s">
        <v>4</v>
      </c>
      <c r="C24" s="46">
        <v>103</v>
      </c>
      <c r="D24" s="41">
        <f>'Ene 25'!F25</f>
        <v>19.801000000000002</v>
      </c>
      <c r="E24" s="41">
        <f>'Feb 25'!F25</f>
        <v>17.684999999999999</v>
      </c>
      <c r="F24" s="41">
        <f>SUM('Mar 25'!F25)</f>
        <v>20.423999999999999</v>
      </c>
      <c r="G24" s="41">
        <f>SUM('Abr 25'!F25)</f>
        <v>17.620999999999999</v>
      </c>
      <c r="H24" s="41">
        <f>SUM('May 25'!F25)</f>
        <v>14.383000000000001</v>
      </c>
      <c r="I24" s="41">
        <f>SUM('Jun 25'!F25)</f>
        <v>16.606000000000002</v>
      </c>
      <c r="J24" s="41">
        <f>SUM('Jul 25'!F25)</f>
        <v>15.815</v>
      </c>
      <c r="K24" s="41">
        <f>SUM('Ago 25'!F25)</f>
        <v>14.578000000000001</v>
      </c>
      <c r="L24" s="41">
        <f>SUM('Sep 25'!F25)</f>
        <v>15.788</v>
      </c>
      <c r="M24" s="41">
        <f>SUM('Oct 25'!F25)</f>
        <v>15.788</v>
      </c>
      <c r="N24" s="41">
        <f>SUM('Nov 25'!F25)</f>
        <v>19.454000000000001</v>
      </c>
      <c r="O24" s="41">
        <f>SUM('Dic 25'!F25)</f>
        <v>19.350000000000001</v>
      </c>
    </row>
    <row r="25" spans="2:15" x14ac:dyDescent="0.45">
      <c r="B25" s="46" t="s">
        <v>4</v>
      </c>
      <c r="C25" s="46">
        <v>104</v>
      </c>
      <c r="D25" s="41">
        <f>'Ene 25'!F26</f>
        <v>19.478999999999999</v>
      </c>
      <c r="E25" s="41">
        <f>'Feb 25'!F26</f>
        <v>15.91</v>
      </c>
      <c r="F25" s="41">
        <f>SUM('Mar 25'!F26)</f>
        <v>16.542999999999999</v>
      </c>
      <c r="G25" s="41">
        <f>SUM('Abr 25'!F26)</f>
        <v>19.400000000000002</v>
      </c>
      <c r="H25" s="41">
        <f>SUM('May 25'!F26)</f>
        <v>13.718999999999999</v>
      </c>
      <c r="I25" s="41">
        <f>SUM('Jun 25'!F26)</f>
        <v>17.456</v>
      </c>
      <c r="J25" s="41">
        <f>SUM('Jul 25'!F26)</f>
        <v>14.652000000000001</v>
      </c>
      <c r="K25" s="41">
        <f>SUM('Ago 25'!F26)</f>
        <v>18.826000000000001</v>
      </c>
      <c r="L25" s="41">
        <f>SUM('Sep 25'!F26)</f>
        <v>14.19</v>
      </c>
      <c r="M25" s="41">
        <f>SUM('Oct 25'!F26)</f>
        <v>14.19</v>
      </c>
      <c r="N25" s="41">
        <f>SUM('Nov 25'!F26)</f>
        <v>13.419</v>
      </c>
      <c r="O25" s="41">
        <f>SUM('Dic 25'!F26)</f>
        <v>12.186999999999999</v>
      </c>
    </row>
    <row r="26" spans="2:15" x14ac:dyDescent="0.45">
      <c r="B26" s="46" t="s">
        <v>4</v>
      </c>
      <c r="C26" s="46">
        <v>201</v>
      </c>
      <c r="D26" s="41">
        <f>'Ene 25'!F27</f>
        <v>27.292999999999999</v>
      </c>
      <c r="E26" s="41">
        <f>'Feb 25'!F27</f>
        <v>23.682000000000002</v>
      </c>
      <c r="F26" s="41">
        <f>SUM('Mar 25'!F27)</f>
        <v>20.112000000000002</v>
      </c>
      <c r="G26" s="41">
        <f>SUM('Abr 25'!F27)</f>
        <v>28.763000000000002</v>
      </c>
      <c r="H26" s="41">
        <f>SUM('May 25'!F27)</f>
        <v>25.077000000000002</v>
      </c>
      <c r="I26" s="41">
        <f>SUM('Jun 25'!F27)</f>
        <v>26.093</v>
      </c>
      <c r="J26" s="41">
        <f>SUM('Jul 25'!F27)</f>
        <v>26.757000000000001</v>
      </c>
      <c r="K26" s="41">
        <f>SUM('Ago 25'!F27)</f>
        <v>29.013999999999999</v>
      </c>
      <c r="L26" s="41">
        <f>SUM('Sep 25'!F27)</f>
        <v>27.242000000000001</v>
      </c>
      <c r="M26" s="41">
        <f>SUM('Oct 25'!F27)</f>
        <v>27.242000000000001</v>
      </c>
      <c r="N26" s="41">
        <f>SUM('Nov 25'!F27)</f>
        <v>31.495000000000001</v>
      </c>
      <c r="O26" s="41">
        <f>SUM('Dic 25'!F27)</f>
        <v>28.61</v>
      </c>
    </row>
    <row r="27" spans="2:15" x14ac:dyDescent="0.45">
      <c r="B27" s="46" t="s">
        <v>4</v>
      </c>
      <c r="C27" s="46">
        <v>202</v>
      </c>
      <c r="D27" s="41">
        <f>'Ene 25'!F28</f>
        <v>12.137</v>
      </c>
      <c r="E27" s="41">
        <f>'Feb 25'!F28</f>
        <v>8.3670000000000009</v>
      </c>
      <c r="F27" s="41">
        <f>SUM('Mar 25'!F28)</f>
        <v>9.3670000000000009</v>
      </c>
      <c r="G27" s="41">
        <f>SUM('Abr 25'!F28)</f>
        <v>9.3350000000000009</v>
      </c>
      <c r="H27" s="41">
        <f>SUM('May 25'!F28)</f>
        <v>20.529</v>
      </c>
      <c r="I27" s="41">
        <f>SUM('Jun 25'!F28)</f>
        <v>10.186</v>
      </c>
      <c r="J27" s="41">
        <f>SUM('Jul 25'!F28)</f>
        <v>10.122</v>
      </c>
      <c r="K27" s="41">
        <f>SUM('Ago 25'!F28)</f>
        <v>12.591000000000001</v>
      </c>
      <c r="L27" s="41">
        <f>SUM('Sep 25'!F28)</f>
        <v>8.6859999999999999</v>
      </c>
      <c r="M27" s="41">
        <f>SUM('Oct 25'!F28)</f>
        <v>8.6859999999999999</v>
      </c>
      <c r="N27" s="41">
        <f>SUM('Nov 25'!F28)</f>
        <v>9.4120000000000008</v>
      </c>
      <c r="O27" s="41">
        <f>SUM('Dic 25'!F28)</f>
        <v>10.051</v>
      </c>
    </row>
    <row r="28" spans="2:15" x14ac:dyDescent="0.45">
      <c r="B28" s="46" t="s">
        <v>4</v>
      </c>
      <c r="C28" s="46">
        <v>203</v>
      </c>
      <c r="D28" s="41">
        <f>'Ene 25'!F29</f>
        <v>14.014000000000001</v>
      </c>
      <c r="E28" s="41">
        <f>'Feb 25'!F29</f>
        <v>15.805</v>
      </c>
      <c r="F28" s="41">
        <f>SUM('Mar 25'!F29)</f>
        <v>13.496</v>
      </c>
      <c r="G28" s="41">
        <f>SUM('Abr 25'!F29)</f>
        <v>13.066000000000001</v>
      </c>
      <c r="H28" s="41">
        <f>SUM('May 25'!F29)</f>
        <v>11.554</v>
      </c>
      <c r="I28" s="41">
        <f>SUM('Jun 25'!F29)</f>
        <v>11.862</v>
      </c>
      <c r="J28" s="41">
        <f>SUM('Jul 25'!F29)</f>
        <v>10.765000000000001</v>
      </c>
      <c r="K28" s="41">
        <f>SUM('Ago 25'!F29)</f>
        <v>13.643000000000001</v>
      </c>
      <c r="L28" s="41">
        <f>SUM('Sep 25'!F29)</f>
        <v>14.826000000000001</v>
      </c>
      <c r="M28" s="41">
        <f>SUM('Oct 25'!F29)</f>
        <v>14.826000000000001</v>
      </c>
      <c r="N28" s="41">
        <f>SUM('Nov 25'!F29)</f>
        <v>19.022000000000002</v>
      </c>
      <c r="O28" s="41">
        <f>SUM('Dic 25'!F29)</f>
        <v>10.705</v>
      </c>
    </row>
    <row r="29" spans="2:15" x14ac:dyDescent="0.45">
      <c r="B29" s="46" t="s">
        <v>4</v>
      </c>
      <c r="C29" s="46">
        <v>204</v>
      </c>
      <c r="D29" s="41">
        <f>'Ene 25'!F30</f>
        <v>15.756</v>
      </c>
      <c r="E29" s="41">
        <f>'Feb 25'!F30</f>
        <v>16.158999999999999</v>
      </c>
      <c r="F29" s="41">
        <f>SUM('Mar 25'!F30)</f>
        <v>12.804</v>
      </c>
      <c r="G29" s="41">
        <f>SUM('Abr 25'!F30)</f>
        <v>16.897000000000002</v>
      </c>
      <c r="H29" s="41">
        <f>SUM('May 25'!F30)</f>
        <v>15.604000000000001</v>
      </c>
      <c r="I29" s="41">
        <f>SUM('Jun 25'!F30)</f>
        <v>14.013</v>
      </c>
      <c r="J29" s="41">
        <f>SUM('Jul 25'!F30)</f>
        <v>14.038</v>
      </c>
      <c r="K29" s="41">
        <f>SUM('Ago 25'!F30)</f>
        <v>14.356</v>
      </c>
      <c r="L29" s="41">
        <f>SUM('Sep 25'!F30)</f>
        <v>14.36</v>
      </c>
      <c r="M29" s="41">
        <f>SUM('Oct 25'!F30)</f>
        <v>14.36</v>
      </c>
      <c r="N29" s="41">
        <f>SUM('Nov 25'!F30)</f>
        <v>14.319000000000001</v>
      </c>
      <c r="O29" s="41">
        <f>SUM('Dic 25'!F30)</f>
        <v>14.044</v>
      </c>
    </row>
    <row r="30" spans="2:15" x14ac:dyDescent="0.45">
      <c r="B30" s="46" t="s">
        <v>4</v>
      </c>
      <c r="C30" s="46">
        <v>301</v>
      </c>
      <c r="D30" s="41">
        <f>'Ene 25'!F31</f>
        <v>13.851000000000001</v>
      </c>
      <c r="E30" s="41">
        <f>'Feb 25'!F31</f>
        <v>18.112000000000002</v>
      </c>
      <c r="F30" s="41">
        <f>SUM('Mar 25'!F31)</f>
        <v>11.313000000000001</v>
      </c>
      <c r="G30" s="41">
        <f>SUM('Abr 25'!F31)</f>
        <v>14.206</v>
      </c>
      <c r="H30" s="41">
        <f>SUM('May 25'!F31)</f>
        <v>9.484</v>
      </c>
      <c r="I30" s="41">
        <f>SUM('Jun 25'!F31)</f>
        <v>11.755000000000001</v>
      </c>
      <c r="J30" s="41">
        <f>SUM('Jul 25'!F31)</f>
        <v>9.4049999999999994</v>
      </c>
      <c r="K30" s="41">
        <f>SUM('Ago 25'!F31)</f>
        <v>10.623000000000001</v>
      </c>
      <c r="L30" s="41">
        <f>SUM('Sep 25'!F31)</f>
        <v>10.692</v>
      </c>
      <c r="M30" s="41">
        <f>SUM('Oct 25'!F31)</f>
        <v>10.692</v>
      </c>
      <c r="N30" s="41">
        <f>SUM('Nov 25'!F31)</f>
        <v>9.5139999999999993</v>
      </c>
      <c r="O30" s="41">
        <f>SUM('Dic 25'!F31)</f>
        <v>40.606999999999999</v>
      </c>
    </row>
    <row r="31" spans="2:15" x14ac:dyDescent="0.45">
      <c r="B31" s="46" t="s">
        <v>4</v>
      </c>
      <c r="C31" s="46">
        <v>302</v>
      </c>
      <c r="D31" s="41">
        <f>'Ene 25'!F32</f>
        <v>16.087</v>
      </c>
      <c r="E31" s="41">
        <f>'Feb 25'!F32</f>
        <v>14.814</v>
      </c>
      <c r="F31" s="41">
        <f>SUM('Mar 25'!F32)</f>
        <v>10.383000000000001</v>
      </c>
      <c r="G31" s="41">
        <f>SUM('Abr 25'!F32)</f>
        <v>16.119</v>
      </c>
      <c r="H31" s="41">
        <f>SUM('May 25'!F32)</f>
        <v>13.247</v>
      </c>
      <c r="I31" s="41">
        <f>SUM('Jun 25'!F32)</f>
        <v>13.624000000000001</v>
      </c>
      <c r="J31" s="41">
        <f>SUM('Jul 25'!F32)</f>
        <v>12.188000000000001</v>
      </c>
      <c r="K31" s="41">
        <f>SUM('Ago 25'!F32)</f>
        <v>12.763</v>
      </c>
      <c r="L31" s="41">
        <f>SUM('Sep 25'!F32)</f>
        <v>13.528</v>
      </c>
      <c r="M31" s="41">
        <f>SUM('Oct 25'!F32)</f>
        <v>13.528</v>
      </c>
      <c r="N31" s="41">
        <f>SUM('Nov 25'!F32)</f>
        <v>10.67</v>
      </c>
      <c r="O31" s="41">
        <f>SUM('Dic 25'!F32)</f>
        <v>13.305</v>
      </c>
    </row>
    <row r="32" spans="2:15" x14ac:dyDescent="0.45">
      <c r="B32" s="46" t="s">
        <v>4</v>
      </c>
      <c r="C32" s="46">
        <v>303</v>
      </c>
      <c r="D32" s="41">
        <f>'Ene 25'!F33</f>
        <v>6.76</v>
      </c>
      <c r="E32" s="41">
        <f>'Feb 25'!F33</f>
        <v>13.780000000000001</v>
      </c>
      <c r="F32" s="41">
        <f>SUM('Mar 25'!F33)</f>
        <v>11.94</v>
      </c>
      <c r="G32" s="41">
        <f>SUM('Abr 25'!F33)</f>
        <v>12.82</v>
      </c>
      <c r="H32" s="41">
        <f>SUM('May 25'!F33)</f>
        <v>10.44</v>
      </c>
      <c r="I32" s="41">
        <f>SUM('Jun 25'!F33)</f>
        <v>11.59</v>
      </c>
      <c r="J32" s="41">
        <f>SUM('Jul 25'!F33)</f>
        <v>11.950000000000001</v>
      </c>
      <c r="K32" s="41">
        <f>SUM('Ago 25'!F33)</f>
        <v>12.1</v>
      </c>
      <c r="L32" s="41">
        <f>SUM('Sep 25'!F33)</f>
        <v>13.94</v>
      </c>
      <c r="M32" s="41">
        <f>SUM('Oct 25'!F33)</f>
        <v>13.94</v>
      </c>
      <c r="N32" s="41">
        <f>SUM('Nov 25'!F33)</f>
        <v>13.75</v>
      </c>
      <c r="O32" s="41">
        <f>SUM('Dic 25'!F33)</f>
        <v>13.82</v>
      </c>
    </row>
    <row r="33" spans="2:15" x14ac:dyDescent="0.45">
      <c r="B33" s="46" t="s">
        <v>4</v>
      </c>
      <c r="C33" s="46">
        <v>304</v>
      </c>
      <c r="D33" s="41">
        <f>'Ene 25'!F34</f>
        <v>28.690999999999999</v>
      </c>
      <c r="E33" s="41">
        <f>'Feb 25'!F34</f>
        <v>32.911999999999999</v>
      </c>
      <c r="F33" s="41">
        <f>SUM('Mar 25'!F34)</f>
        <v>30.353999999999999</v>
      </c>
      <c r="G33" s="41">
        <f>SUM('Abr 25'!F34)</f>
        <v>29.169</v>
      </c>
      <c r="H33" s="41">
        <f>SUM('May 25'!F34)</f>
        <v>27.152000000000001</v>
      </c>
      <c r="I33" s="41">
        <f>SUM('Jun 25'!F34)</f>
        <v>26.19</v>
      </c>
      <c r="J33" s="41">
        <f>SUM('Jul 25'!F34)</f>
        <v>26.158999999999999</v>
      </c>
      <c r="K33" s="41">
        <f>SUM('Ago 25'!F34)</f>
        <v>26.352</v>
      </c>
      <c r="L33" s="41">
        <f>SUM('Sep 25'!F34)</f>
        <v>16.585000000000001</v>
      </c>
      <c r="M33" s="41">
        <f>SUM('Oct 25'!F34)</f>
        <v>16.585000000000001</v>
      </c>
      <c r="N33" s="41">
        <f>SUM('Nov 25'!F34)</f>
        <v>23.315999999999999</v>
      </c>
      <c r="O33" s="41">
        <f>SUM('Dic 25'!F34)</f>
        <v>21.91</v>
      </c>
    </row>
    <row r="34" spans="2:15" x14ac:dyDescent="0.45">
      <c r="B34" s="46" t="s">
        <v>4</v>
      </c>
      <c r="C34" s="46">
        <v>401</v>
      </c>
      <c r="D34" s="41">
        <f>'Ene 25'!F35</f>
        <v>18.731999999999999</v>
      </c>
      <c r="E34" s="41">
        <f>'Feb 25'!F35</f>
        <v>12.038</v>
      </c>
      <c r="F34" s="41">
        <f>SUM('Mar 25'!F35)</f>
        <v>15.745000000000001</v>
      </c>
      <c r="G34" s="41">
        <f>SUM('Abr 25'!F35)</f>
        <v>14.864000000000001</v>
      </c>
      <c r="H34" s="41">
        <f>SUM('May 25'!F35)</f>
        <v>20.373000000000001</v>
      </c>
      <c r="I34" s="41">
        <f>SUM('Jun 25'!F35)</f>
        <v>8.293000000000001</v>
      </c>
      <c r="J34" s="41">
        <f>SUM('Jul 25'!F35)</f>
        <v>11.324</v>
      </c>
      <c r="K34" s="41">
        <f>SUM('Ago 25'!F35)</f>
        <v>9.0280000000000005</v>
      </c>
      <c r="L34" s="41">
        <f>SUM('Sep 25'!F35)</f>
        <v>9.89</v>
      </c>
      <c r="M34" s="41">
        <f>SUM('Oct 25'!F35)</f>
        <v>9.89</v>
      </c>
      <c r="N34" s="41">
        <f>SUM('Nov 25'!F35)</f>
        <v>18.364000000000001</v>
      </c>
      <c r="O34" s="41">
        <f>SUM('Dic 25'!F35)</f>
        <v>11.591000000000001</v>
      </c>
    </row>
    <row r="35" spans="2:15" x14ac:dyDescent="0.45">
      <c r="B35" s="46" t="s">
        <v>4</v>
      </c>
      <c r="C35" s="46">
        <v>402</v>
      </c>
      <c r="D35" s="41">
        <f>'Ene 25'!F36</f>
        <v>10.085000000000001</v>
      </c>
      <c r="E35" s="41">
        <f>'Feb 25'!F36</f>
        <v>11.303000000000001</v>
      </c>
      <c r="F35" s="41">
        <f>SUM('Mar 25'!F36)</f>
        <v>17.497</v>
      </c>
      <c r="G35" s="41">
        <f>SUM('Abr 25'!F36)</f>
        <v>17.667000000000002</v>
      </c>
      <c r="H35" s="41">
        <f>SUM('May 25'!F36)</f>
        <v>13.618</v>
      </c>
      <c r="I35" s="41">
        <f>SUM('Jun 25'!F36)</f>
        <v>11.311999999999999</v>
      </c>
      <c r="J35" s="41">
        <f>SUM('Jul 25'!F36)</f>
        <v>10.541</v>
      </c>
      <c r="K35" s="41">
        <f>SUM('Ago 25'!F36)</f>
        <v>12.143000000000001</v>
      </c>
      <c r="L35" s="41">
        <f>SUM('Sep 25'!F36)</f>
        <v>14.085000000000001</v>
      </c>
      <c r="M35" s="41">
        <f>SUM('Oct 25'!F36)</f>
        <v>14.085000000000001</v>
      </c>
      <c r="N35" s="41">
        <f>SUM('Nov 25'!F36)</f>
        <v>16.876000000000001</v>
      </c>
      <c r="O35" s="41">
        <f>SUM('Dic 25'!F36)</f>
        <v>23.853000000000002</v>
      </c>
    </row>
    <row r="36" spans="2:15" x14ac:dyDescent="0.45">
      <c r="B36" s="46" t="s">
        <v>4</v>
      </c>
      <c r="C36" s="46">
        <v>403</v>
      </c>
      <c r="D36" s="41">
        <f>'Ene 25'!F37</f>
        <v>15.308</v>
      </c>
      <c r="E36" s="41">
        <f>'Feb 25'!F37</f>
        <v>13.507</v>
      </c>
      <c r="F36" s="41">
        <f>SUM('Mar 25'!F37)</f>
        <v>13.280000000000001</v>
      </c>
      <c r="G36" s="41">
        <f>SUM('Abr 25'!F37)</f>
        <v>17.154</v>
      </c>
      <c r="H36" s="41">
        <f>SUM('May 25'!F37)</f>
        <v>11.843999999999999</v>
      </c>
      <c r="I36" s="41">
        <f>SUM('Jun 25'!F37)</f>
        <v>13.726000000000001</v>
      </c>
      <c r="J36" s="41">
        <f>SUM('Jul 25'!F37)</f>
        <v>0.28200000000000003</v>
      </c>
      <c r="K36" s="41">
        <f>SUM('Ago 25'!F37)</f>
        <v>1E-3</v>
      </c>
      <c r="L36" s="41">
        <f>SUM('Sep 25'!F37)</f>
        <v>0</v>
      </c>
      <c r="M36" s="41">
        <f>SUM('Oct 25'!F37)</f>
        <v>0</v>
      </c>
      <c r="N36" s="41">
        <f>SUM('Nov 25'!F37)</f>
        <v>1E-3</v>
      </c>
      <c r="O36" s="41">
        <f>SUM('Dic 25'!F37)</f>
        <v>0</v>
      </c>
    </row>
    <row r="37" spans="2:15" x14ac:dyDescent="0.45">
      <c r="B37" s="46" t="s">
        <v>4</v>
      </c>
      <c r="C37" s="46">
        <v>404</v>
      </c>
      <c r="D37" s="41">
        <f>'Ene 25'!F38</f>
        <v>23.397000000000002</v>
      </c>
      <c r="E37" s="41">
        <f>'Feb 25'!F38</f>
        <v>16.707000000000001</v>
      </c>
      <c r="F37" s="41">
        <f>SUM('Mar 25'!F38)</f>
        <v>20.529</v>
      </c>
      <c r="G37" s="41">
        <f>SUM('Abr 25'!F38)</f>
        <v>25.545999999999999</v>
      </c>
      <c r="H37" s="41">
        <f>SUM('May 25'!F38)</f>
        <v>19.507000000000001</v>
      </c>
      <c r="I37" s="41">
        <f>SUM('Jun 25'!F38)</f>
        <v>21.425000000000001</v>
      </c>
      <c r="J37" s="41">
        <f>SUM('Jul 25'!F38)</f>
        <v>27.891000000000002</v>
      </c>
      <c r="K37" s="41">
        <f>SUM('Ago 25'!F38)</f>
        <v>24.423999999999999</v>
      </c>
      <c r="L37" s="41">
        <f>SUM('Sep 25'!F38)</f>
        <v>26.237000000000002</v>
      </c>
      <c r="M37" s="41">
        <f>SUM('Oct 25'!F38)</f>
        <v>26.237000000000002</v>
      </c>
      <c r="N37" s="41">
        <f>SUM('Nov 25'!F38)</f>
        <v>22.103000000000002</v>
      </c>
      <c r="O37" s="41">
        <f>SUM('Dic 25'!F38)</f>
        <v>24.064</v>
      </c>
    </row>
    <row r="38" spans="2:15" x14ac:dyDescent="0.45">
      <c r="B38" s="46" t="s">
        <v>4</v>
      </c>
      <c r="C38" s="46">
        <v>501</v>
      </c>
      <c r="D38" s="41">
        <f>'Ene 25'!F39</f>
        <v>34.308999999999997</v>
      </c>
      <c r="E38" s="41">
        <f>'Feb 25'!F39</f>
        <v>73.510999999999996</v>
      </c>
      <c r="F38" s="41">
        <f>SUM('Mar 25'!F39)</f>
        <v>59.887999999999998</v>
      </c>
      <c r="G38" s="41">
        <f>SUM('Abr 25'!F39)</f>
        <v>73.363</v>
      </c>
      <c r="H38" s="41">
        <f>SUM('May 25'!F39)</f>
        <v>65.989000000000004</v>
      </c>
      <c r="I38" s="41">
        <f>SUM('Jun 25'!F39)</f>
        <v>56.744</v>
      </c>
      <c r="J38" s="41">
        <f>SUM('Jul 25'!F39)</f>
        <v>36.968000000000004</v>
      </c>
      <c r="K38" s="41">
        <f>SUM('Ago 25'!F39)</f>
        <v>37.573</v>
      </c>
      <c r="L38" s="41">
        <f>SUM('Sep 25'!F39)</f>
        <v>41.186999999999998</v>
      </c>
      <c r="M38" s="41">
        <f>SUM('Oct 25'!F39)</f>
        <v>41.186999999999998</v>
      </c>
      <c r="N38" s="41">
        <f>SUM('Nov 25'!F39)</f>
        <v>44.786999999999999</v>
      </c>
      <c r="O38" s="41">
        <f>SUM('Dic 25'!F39)</f>
        <v>41.45</v>
      </c>
    </row>
    <row r="39" spans="2:15" x14ac:dyDescent="0.45">
      <c r="B39" s="46" t="s">
        <v>4</v>
      </c>
      <c r="C39" s="46">
        <v>502</v>
      </c>
      <c r="D39" s="41">
        <f>'Ene 25'!F40</f>
        <v>16.914999999999999</v>
      </c>
      <c r="E39" s="41">
        <f>'Feb 25'!F40</f>
        <v>18.192</v>
      </c>
      <c r="F39" s="41">
        <f>SUM('Mar 25'!F40)</f>
        <v>17.387</v>
      </c>
      <c r="G39" s="41">
        <f>SUM('Abr 25'!F40)</f>
        <v>21.818000000000001</v>
      </c>
      <c r="H39" s="41">
        <f>SUM('May 25'!F40)</f>
        <v>20.199000000000002</v>
      </c>
      <c r="I39" s="41">
        <f>SUM('Jun 25'!F40)</f>
        <v>26.647000000000002</v>
      </c>
      <c r="J39" s="41">
        <f>SUM('Jul 25'!F40)</f>
        <v>19.748000000000001</v>
      </c>
      <c r="K39" s="41">
        <f>SUM('Ago 25'!F40)</f>
        <v>20.426000000000002</v>
      </c>
      <c r="L39" s="41">
        <f>SUM('Sep 25'!F40)</f>
        <v>41.911000000000001</v>
      </c>
      <c r="M39" s="41">
        <f>SUM('Oct 25'!F40)</f>
        <v>41.911000000000001</v>
      </c>
      <c r="N39" s="41">
        <f>SUM('Nov 25'!F40)</f>
        <v>25.806000000000001</v>
      </c>
      <c r="O39" s="41">
        <f>SUM('Dic 25'!F40)</f>
        <v>23.134</v>
      </c>
    </row>
    <row r="40" spans="2:15" x14ac:dyDescent="0.45">
      <c r="B40" s="46" t="s">
        <v>4</v>
      </c>
      <c r="C40" s="46">
        <v>503</v>
      </c>
      <c r="D40" s="41">
        <f>'Ene 25'!F41</f>
        <v>26.63</v>
      </c>
      <c r="E40" s="41">
        <f>'Feb 25'!F41</f>
        <v>27.865000000000002</v>
      </c>
      <c r="F40" s="41">
        <f>SUM('Mar 25'!F41)</f>
        <v>23.829000000000001</v>
      </c>
      <c r="G40" s="41">
        <f>SUM('Abr 25'!F41)</f>
        <v>26.702000000000002</v>
      </c>
      <c r="H40" s="41">
        <f>SUM('May 25'!F41)</f>
        <v>21.184000000000001</v>
      </c>
      <c r="I40" s="41">
        <f>SUM('Jun 25'!F41)</f>
        <v>20.224</v>
      </c>
      <c r="J40" s="41">
        <f>SUM('Jul 25'!F41)</f>
        <v>21.443999999999999</v>
      </c>
      <c r="K40" s="41">
        <f>SUM('Ago 25'!F41)</f>
        <v>21.719000000000001</v>
      </c>
      <c r="L40" s="41">
        <f>SUM('Sep 25'!F41)</f>
        <v>21.088000000000001</v>
      </c>
      <c r="M40" s="41">
        <f>SUM('Oct 25'!F41)</f>
        <v>21.088000000000001</v>
      </c>
      <c r="N40" s="41">
        <f>SUM('Nov 25'!F41)</f>
        <v>22.379000000000001</v>
      </c>
      <c r="O40" s="41">
        <f>SUM('Dic 25'!F41)</f>
        <v>18.45</v>
      </c>
    </row>
    <row r="41" spans="2:15" x14ac:dyDescent="0.45">
      <c r="B41" s="46" t="s">
        <v>4</v>
      </c>
      <c r="C41" s="46">
        <v>504</v>
      </c>
      <c r="D41" s="41">
        <f>'Ene 25'!F42</f>
        <v>7.2149999999999999</v>
      </c>
      <c r="E41" s="41">
        <f>'Feb 25'!F42</f>
        <v>6.6349999999999998</v>
      </c>
      <c r="F41" s="41">
        <f>SUM('Mar 25'!F42)</f>
        <v>5.6719999999999997</v>
      </c>
      <c r="G41" s="41">
        <f>SUM('Abr 25'!F42)</f>
        <v>9.3930000000000007</v>
      </c>
      <c r="H41" s="41">
        <f>SUM('May 25'!F42)</f>
        <v>5.9910000000000005</v>
      </c>
      <c r="I41" s="41">
        <f>SUM('Jun 25'!F42)</f>
        <v>5.86</v>
      </c>
      <c r="J41" s="41">
        <f>SUM('Jul 25'!F42)</f>
        <v>5.976</v>
      </c>
      <c r="K41" s="41">
        <f>SUM('Ago 25'!F42)</f>
        <v>5.3620000000000001</v>
      </c>
      <c r="L41" s="41">
        <f>SUM('Sep 25'!F42)</f>
        <v>0</v>
      </c>
      <c r="M41" s="41">
        <f>SUM('Oct 25'!F42)</f>
        <v>0</v>
      </c>
      <c r="N41" s="41">
        <f>SUM('Nov 25'!F42)</f>
        <v>8.69</v>
      </c>
      <c r="O41" s="41">
        <f>SUM('Dic 25'!F42)</f>
        <v>6.4160000000000004</v>
      </c>
    </row>
    <row r="42" spans="2:15" x14ac:dyDescent="0.45">
      <c r="B42" s="46" t="s">
        <v>5</v>
      </c>
      <c r="C42" s="46">
        <v>101</v>
      </c>
      <c r="D42" s="41">
        <f>'Ene 25'!F43</f>
        <v>7.69</v>
      </c>
      <c r="E42" s="41">
        <f>'Feb 25'!F43</f>
        <v>7.36</v>
      </c>
      <c r="F42" s="41">
        <f>SUM('Mar 25'!F43)</f>
        <v>6.05</v>
      </c>
      <c r="G42" s="41">
        <f>SUM('Abr 25'!F43)</f>
        <v>8.61</v>
      </c>
      <c r="H42" s="41">
        <f>SUM('May 25'!F43)</f>
        <v>13.56</v>
      </c>
      <c r="I42" s="41">
        <f>SUM('Jun 25'!F43)</f>
        <v>5.78</v>
      </c>
      <c r="J42" s="41">
        <f>SUM('Jul 25'!F43)</f>
        <v>5.79</v>
      </c>
      <c r="K42" s="41">
        <f>SUM('Ago 25'!F43)</f>
        <v>5.43</v>
      </c>
      <c r="L42" s="41">
        <f>SUM('Sep 25'!F43)</f>
        <v>5.87</v>
      </c>
      <c r="M42" s="41">
        <f>SUM('Oct 25'!F43)</f>
        <v>5.87</v>
      </c>
      <c r="N42" s="41">
        <f>SUM('Nov 25'!F43)</f>
        <v>7.6000000000000005</v>
      </c>
      <c r="O42" s="41">
        <f>SUM('Dic 25'!F43)</f>
        <v>6.86</v>
      </c>
    </row>
    <row r="43" spans="2:15" x14ac:dyDescent="0.45">
      <c r="B43" s="46" t="s">
        <v>5</v>
      </c>
      <c r="C43" s="46">
        <v>102</v>
      </c>
      <c r="D43" s="41">
        <f>'Ene 25'!F44</f>
        <v>32.582999999999998</v>
      </c>
      <c r="E43" s="41">
        <f>'Feb 25'!F44</f>
        <v>23.423000000000002</v>
      </c>
      <c r="F43" s="41">
        <f>SUM('Mar 25'!F44)</f>
        <v>26.763999999999999</v>
      </c>
      <c r="G43" s="41">
        <f>SUM('Abr 25'!F44)</f>
        <v>24.283000000000001</v>
      </c>
      <c r="H43" s="41">
        <f>SUM('May 25'!F44)</f>
        <v>20.530999999999999</v>
      </c>
      <c r="I43" s="41">
        <f>SUM('Jun 25'!F44)</f>
        <v>18.038</v>
      </c>
      <c r="J43" s="41">
        <f>SUM('Jul 25'!F44)</f>
        <v>21.062999999999999</v>
      </c>
      <c r="K43" s="41">
        <f>SUM('Ago 25'!F44)</f>
        <v>18.586000000000002</v>
      </c>
      <c r="L43" s="41">
        <f>SUM('Sep 25'!F44)</f>
        <v>18.766000000000002</v>
      </c>
      <c r="M43" s="41">
        <f>SUM('Oct 25'!F44)</f>
        <v>18.766000000000002</v>
      </c>
      <c r="N43" s="41">
        <f>SUM('Nov 25'!F44)</f>
        <v>13.319000000000001</v>
      </c>
      <c r="O43" s="41">
        <f>SUM('Dic 25'!F44)</f>
        <v>21.274000000000001</v>
      </c>
    </row>
    <row r="44" spans="2:15" x14ac:dyDescent="0.45">
      <c r="B44" s="46" t="s">
        <v>5</v>
      </c>
      <c r="C44" s="46">
        <v>103</v>
      </c>
      <c r="D44" s="41">
        <f>'Ene 25'!F45</f>
        <v>2.7640000000000002</v>
      </c>
      <c r="E44" s="41">
        <f>'Feb 25'!F45</f>
        <v>3.552</v>
      </c>
      <c r="F44" s="41">
        <f>SUM('Mar 25'!F45)</f>
        <v>2.9340000000000002</v>
      </c>
      <c r="G44" s="41">
        <f>SUM('Abr 25'!F45)</f>
        <v>1.054</v>
      </c>
      <c r="H44" s="41">
        <f>SUM('May 25'!F45)</f>
        <v>1.8149999999999999</v>
      </c>
      <c r="I44" s="41">
        <f>SUM('Jun 25'!F45)</f>
        <v>0.56300000000000006</v>
      </c>
      <c r="J44" s="41">
        <f>SUM('Jul 25'!F45)</f>
        <v>0</v>
      </c>
      <c r="K44" s="41">
        <f>SUM('Ago 25'!F45)</f>
        <v>0</v>
      </c>
      <c r="L44" s="41">
        <f>SUM('Sep 25'!F45)</f>
        <v>0</v>
      </c>
      <c r="M44" s="41">
        <f>SUM('Oct 25'!F45)</f>
        <v>0</v>
      </c>
      <c r="N44" s="41">
        <f>SUM('Nov 25'!F45)</f>
        <v>0</v>
      </c>
      <c r="O44" s="41">
        <f>SUM('Dic 25'!F45)</f>
        <v>27.19</v>
      </c>
    </row>
    <row r="45" spans="2:15" x14ac:dyDescent="0.45">
      <c r="B45" s="46" t="s">
        <v>5</v>
      </c>
      <c r="C45" s="46">
        <v>104</v>
      </c>
      <c r="D45" s="41">
        <f>'Ene 25'!F46</f>
        <v>15.064</v>
      </c>
      <c r="E45" s="41">
        <f>'Feb 25'!F46</f>
        <v>13.321</v>
      </c>
      <c r="F45" s="41">
        <f>SUM('Mar 25'!F46)</f>
        <v>9.1440000000000001</v>
      </c>
      <c r="G45" s="41">
        <f>SUM('Abr 25'!F46)</f>
        <v>17.568999999999999</v>
      </c>
      <c r="H45" s="41">
        <f>SUM('May 25'!F46)</f>
        <v>16.132000000000001</v>
      </c>
      <c r="I45" s="41">
        <f>SUM('Jun 25'!F46)</f>
        <v>22.214000000000002</v>
      </c>
      <c r="J45" s="41">
        <f>SUM('Jul 25'!F46)</f>
        <v>17.190000000000001</v>
      </c>
      <c r="K45" s="41">
        <f>SUM('Ago 25'!F46)</f>
        <v>12.551</v>
      </c>
      <c r="L45" s="41">
        <f>SUM('Sep 25'!F46)</f>
        <v>16.491</v>
      </c>
      <c r="M45" s="41">
        <f>SUM('Oct 25'!F46)</f>
        <v>16.491</v>
      </c>
      <c r="N45" s="41">
        <f>SUM('Nov 25'!F46)</f>
        <v>21.745000000000001</v>
      </c>
      <c r="O45" s="41">
        <f>SUM('Dic 25'!F46)</f>
        <v>18.486000000000001</v>
      </c>
    </row>
    <row r="46" spans="2:15" x14ac:dyDescent="0.45">
      <c r="B46" s="46" t="s">
        <v>5</v>
      </c>
      <c r="C46" s="46">
        <v>201</v>
      </c>
      <c r="D46" s="41">
        <f>'Ene 25'!F47</f>
        <v>32.401000000000003</v>
      </c>
      <c r="E46" s="41">
        <f>'Feb 25'!F47</f>
        <v>21.995000000000001</v>
      </c>
      <c r="F46" s="41">
        <f>SUM('Mar 25'!F47)</f>
        <v>36.725999999999999</v>
      </c>
      <c r="G46" s="41">
        <f>SUM('Abr 25'!F47)</f>
        <v>35.932000000000002</v>
      </c>
      <c r="H46" s="41">
        <f>SUM('May 25'!F47)</f>
        <v>28.824999999999999</v>
      </c>
      <c r="I46" s="41">
        <f>SUM('Jun 25'!F47)</f>
        <v>26.309000000000001</v>
      </c>
      <c r="J46" s="41">
        <f>SUM('Jul 25'!F47)</f>
        <v>20.042000000000002</v>
      </c>
      <c r="K46" s="41">
        <f>SUM('Ago 25'!F47)</f>
        <v>18.471</v>
      </c>
      <c r="L46" s="41">
        <f>SUM('Sep 25'!F47)</f>
        <v>37.346000000000004</v>
      </c>
      <c r="M46" s="41">
        <f>SUM('Oct 25'!F47)</f>
        <v>37.346000000000004</v>
      </c>
      <c r="N46" s="41">
        <f>SUM('Nov 25'!F47)</f>
        <v>32.770000000000003</v>
      </c>
      <c r="O46" s="41">
        <f>SUM('Dic 25'!F47)</f>
        <v>36.64</v>
      </c>
    </row>
    <row r="47" spans="2:15" x14ac:dyDescent="0.45">
      <c r="B47" s="46" t="s">
        <v>5</v>
      </c>
      <c r="C47" s="46">
        <v>202</v>
      </c>
      <c r="D47" s="41">
        <f>'Ene 25'!F48</f>
        <v>28.153000000000002</v>
      </c>
      <c r="E47" s="41">
        <f>'Feb 25'!F48</f>
        <v>30.533999999999999</v>
      </c>
      <c r="F47" s="41">
        <f>SUM('Mar 25'!F48)</f>
        <v>25.077000000000002</v>
      </c>
      <c r="G47" s="41">
        <f>SUM('Abr 25'!F48)</f>
        <v>37.186</v>
      </c>
      <c r="H47" s="41">
        <f>SUM('May 25'!F48)</f>
        <v>29.028000000000002</v>
      </c>
      <c r="I47" s="41">
        <f>SUM('Jun 25'!F48)</f>
        <v>28.342000000000002</v>
      </c>
      <c r="J47" s="41">
        <f>SUM('Jul 25'!F48)</f>
        <v>29.242000000000001</v>
      </c>
      <c r="K47" s="41">
        <f>SUM('Ago 25'!F48)</f>
        <v>30.266999999999999</v>
      </c>
      <c r="L47" s="41">
        <f>SUM('Sep 25'!F48)</f>
        <v>31.129000000000001</v>
      </c>
      <c r="M47" s="41">
        <f>SUM('Oct 25'!F48)</f>
        <v>31.129000000000001</v>
      </c>
      <c r="N47" s="41">
        <f>SUM('Nov 25'!F48)</f>
        <v>32.689</v>
      </c>
      <c r="O47" s="41">
        <f>SUM('Dic 25'!F48)</f>
        <v>29.943999999999999</v>
      </c>
    </row>
    <row r="48" spans="2:15" x14ac:dyDescent="0.45">
      <c r="B48" s="46" t="s">
        <v>5</v>
      </c>
      <c r="C48" s="46">
        <v>203</v>
      </c>
      <c r="D48" s="41">
        <f>'Ene 25'!F49</f>
        <v>19.98</v>
      </c>
      <c r="E48" s="41">
        <f>'Feb 25'!F49</f>
        <v>11.404</v>
      </c>
      <c r="F48" s="41">
        <f>SUM('Mar 25'!F49)</f>
        <v>14.505000000000001</v>
      </c>
      <c r="G48" s="41">
        <f>SUM('Abr 25'!F49)</f>
        <v>17.472000000000001</v>
      </c>
      <c r="H48" s="41">
        <f>SUM('May 25'!F49)</f>
        <v>13.037000000000001</v>
      </c>
      <c r="I48" s="41">
        <f>SUM('Jun 25'!F49)</f>
        <v>19.356999999999999</v>
      </c>
      <c r="J48" s="41">
        <f>SUM('Jul 25'!F49)</f>
        <v>14.096</v>
      </c>
      <c r="K48" s="41">
        <f>SUM('Ago 25'!F49)</f>
        <v>11.345000000000001</v>
      </c>
      <c r="L48" s="41">
        <f>SUM('Sep 25'!F49)</f>
        <v>13.971</v>
      </c>
      <c r="M48" s="41">
        <f>SUM('Oct 25'!F49)</f>
        <v>13.971</v>
      </c>
      <c r="N48" s="41">
        <f>SUM('Nov 25'!F49)</f>
        <v>12.952999999999999</v>
      </c>
      <c r="O48" s="41">
        <f>SUM('Dic 25'!F49)</f>
        <v>12.728</v>
      </c>
    </row>
    <row r="49" spans="2:15" x14ac:dyDescent="0.45">
      <c r="B49" s="46" t="s">
        <v>5</v>
      </c>
      <c r="C49" s="46">
        <v>204</v>
      </c>
      <c r="D49" s="41">
        <f>'Ene 25'!F50</f>
        <v>9.3559999999999999</v>
      </c>
      <c r="E49" s="41">
        <f>'Feb 25'!F50</f>
        <v>13.286</v>
      </c>
      <c r="F49" s="41">
        <f>SUM('Mar 25'!F50)</f>
        <v>14.821</v>
      </c>
      <c r="G49" s="41">
        <f>SUM('Abr 25'!F50)</f>
        <v>15.667</v>
      </c>
      <c r="H49" s="41">
        <f>SUM('May 25'!F50)</f>
        <v>10.307</v>
      </c>
      <c r="I49" s="41">
        <f>SUM('Jun 25'!F50)</f>
        <v>10.257</v>
      </c>
      <c r="J49" s="41">
        <f>SUM('Jul 25'!F50)</f>
        <v>10.512</v>
      </c>
      <c r="K49" s="41">
        <f>SUM('Ago 25'!F50)</f>
        <v>11.473000000000001</v>
      </c>
      <c r="L49" s="41">
        <f>SUM('Sep 25'!F50)</f>
        <v>27.658999999999999</v>
      </c>
      <c r="M49" s="41">
        <f>SUM('Oct 25'!F50)</f>
        <v>27.658999999999999</v>
      </c>
      <c r="N49" s="41">
        <f>SUM('Nov 25'!F50)</f>
        <v>10.048999999999999</v>
      </c>
      <c r="O49" s="41">
        <f>SUM('Dic 25'!F50)</f>
        <v>12.011000000000001</v>
      </c>
    </row>
    <row r="50" spans="2:15" x14ac:dyDescent="0.45">
      <c r="B50" s="46" t="s">
        <v>5</v>
      </c>
      <c r="C50" s="46">
        <v>301</v>
      </c>
      <c r="D50" s="41">
        <f>'Ene 25'!F51</f>
        <v>8.9619999999999997</v>
      </c>
      <c r="E50" s="41">
        <f>'Feb 25'!F51</f>
        <v>15.124000000000001</v>
      </c>
      <c r="F50" s="41">
        <f>SUM('Mar 25'!F51)</f>
        <v>9.0329999999999995</v>
      </c>
      <c r="G50" s="41">
        <f>SUM('Abr 25'!F51)</f>
        <v>12.244</v>
      </c>
      <c r="H50" s="41">
        <f>SUM('May 25'!F51)</f>
        <v>11.745000000000001</v>
      </c>
      <c r="I50" s="41">
        <f>SUM('Jun 25'!F51)</f>
        <v>8.08</v>
      </c>
      <c r="J50" s="41">
        <f>SUM('Jul 25'!F51)</f>
        <v>9.173</v>
      </c>
      <c r="K50" s="41">
        <f>SUM('Ago 25'!F51)</f>
        <v>9.8250000000000011</v>
      </c>
      <c r="L50" s="41">
        <f>SUM('Sep 25'!F51)</f>
        <v>13.404</v>
      </c>
      <c r="M50" s="41">
        <f>SUM('Oct 25'!F51)</f>
        <v>13.404</v>
      </c>
      <c r="N50" s="41">
        <f>SUM('Nov 25'!F51)</f>
        <v>9.81</v>
      </c>
      <c r="O50" s="41">
        <f>SUM('Dic 25'!F51)</f>
        <v>8.8409999999999993</v>
      </c>
    </row>
    <row r="51" spans="2:15" x14ac:dyDescent="0.45">
      <c r="B51" s="46" t="s">
        <v>5</v>
      </c>
      <c r="C51" s="46">
        <v>302</v>
      </c>
      <c r="D51" s="41">
        <f>'Ene 25'!F52</f>
        <v>17.081</v>
      </c>
      <c r="E51" s="41">
        <f>'Feb 25'!F52</f>
        <v>16.664999999999999</v>
      </c>
      <c r="F51" s="41">
        <f>SUM('Mar 25'!F52)</f>
        <v>20.437000000000001</v>
      </c>
      <c r="G51" s="41">
        <f>SUM('Abr 25'!F52)</f>
        <v>22.052</v>
      </c>
      <c r="H51" s="41">
        <f>SUM('May 25'!F52)</f>
        <v>14.434000000000001</v>
      </c>
      <c r="I51" s="41">
        <f>SUM('Jun 25'!F52)</f>
        <v>15.500999999999999</v>
      </c>
      <c r="J51" s="41">
        <f>SUM('Jul 25'!F52)</f>
        <v>15.247</v>
      </c>
      <c r="K51" s="41">
        <f>SUM('Ago 25'!F52)</f>
        <v>17.16</v>
      </c>
      <c r="L51" s="41">
        <f>SUM('Sep 25'!F52)</f>
        <v>17.272000000000002</v>
      </c>
      <c r="M51" s="41">
        <f>SUM('Oct 25'!F52)</f>
        <v>17.272000000000002</v>
      </c>
      <c r="N51" s="41">
        <f>SUM('Nov 25'!F52)</f>
        <v>17.722000000000001</v>
      </c>
      <c r="O51" s="41">
        <f>SUM('Dic 25'!F52)</f>
        <v>16.513000000000002</v>
      </c>
    </row>
    <row r="52" spans="2:15" x14ac:dyDescent="0.45">
      <c r="B52" s="46" t="s">
        <v>5</v>
      </c>
      <c r="C52" s="46">
        <v>303</v>
      </c>
      <c r="D52" s="41">
        <f>'Ene 25'!F53</f>
        <v>8.0969999999999995</v>
      </c>
      <c r="E52" s="41">
        <f>'Feb 25'!F53</f>
        <v>7.5259999999999998</v>
      </c>
      <c r="F52" s="41">
        <f>SUM('Mar 25'!F53)</f>
        <v>6.9270000000000005</v>
      </c>
      <c r="G52" s="41">
        <f>SUM('Abr 25'!F53)</f>
        <v>9.0329999999999995</v>
      </c>
      <c r="H52" s="41">
        <f>SUM('May 25'!F53)</f>
        <v>10.917</v>
      </c>
      <c r="I52" s="41">
        <f>SUM('Jun 25'!F53)</f>
        <v>11.266</v>
      </c>
      <c r="J52" s="41">
        <f>SUM('Jul 25'!F53)</f>
        <v>15.056000000000001</v>
      </c>
      <c r="K52" s="41">
        <f>SUM('Ago 25'!F53)</f>
        <v>8.3279999999999994</v>
      </c>
      <c r="L52" s="41">
        <f>SUM('Sep 25'!F53)</f>
        <v>7.8890000000000002</v>
      </c>
      <c r="M52" s="41">
        <f>SUM('Oct 25'!F53)</f>
        <v>7.8890000000000002</v>
      </c>
      <c r="N52" s="41">
        <f>SUM('Nov 25'!F53)</f>
        <v>9.1609999999999996</v>
      </c>
      <c r="O52" s="41">
        <f>SUM('Dic 25'!F53)</f>
        <v>8.2850000000000001</v>
      </c>
    </row>
    <row r="53" spans="2:15" x14ac:dyDescent="0.45">
      <c r="B53" s="46" t="s">
        <v>5</v>
      </c>
      <c r="C53" s="46">
        <v>304</v>
      </c>
      <c r="D53" s="41">
        <f>'Ene 25'!F54</f>
        <v>12.284000000000001</v>
      </c>
      <c r="E53" s="41">
        <f>'Feb 25'!F54</f>
        <v>14.853</v>
      </c>
      <c r="F53" s="41">
        <f>SUM('Mar 25'!F54)</f>
        <v>9.4819999999999993</v>
      </c>
      <c r="G53" s="41">
        <f>SUM('Abr 25'!F54)</f>
        <v>14.268000000000001</v>
      </c>
      <c r="H53" s="41">
        <f>SUM('May 25'!F54)</f>
        <v>12.978</v>
      </c>
      <c r="I53" s="41">
        <f>SUM('Jun 25'!F54)</f>
        <v>11.543000000000001</v>
      </c>
      <c r="J53" s="41">
        <f>SUM('Jul 25'!F54)</f>
        <v>10.78</v>
      </c>
      <c r="K53" s="41">
        <f>SUM('Ago 25'!F54)</f>
        <v>9.3179999999999996</v>
      </c>
      <c r="L53" s="41">
        <f>SUM('Sep 25'!F54)</f>
        <v>12.825000000000001</v>
      </c>
      <c r="M53" s="41">
        <f>SUM('Oct 25'!F54)</f>
        <v>12.825000000000001</v>
      </c>
      <c r="N53" s="41">
        <f>SUM('Nov 25'!F54)</f>
        <v>9.5129999999999999</v>
      </c>
      <c r="O53" s="41">
        <f>SUM('Dic 25'!F54)</f>
        <v>10.597</v>
      </c>
    </row>
    <row r="54" spans="2:15" x14ac:dyDescent="0.45">
      <c r="B54" s="46" t="s">
        <v>5</v>
      </c>
      <c r="C54" s="46">
        <v>401</v>
      </c>
      <c r="D54" s="41">
        <f>'Ene 25'!F55</f>
        <v>8.4920000000000009</v>
      </c>
      <c r="E54" s="41">
        <f>'Feb 25'!F55</f>
        <v>21.847000000000001</v>
      </c>
      <c r="F54" s="41">
        <f>SUM('Mar 25'!F55)</f>
        <v>25.812999999999999</v>
      </c>
      <c r="G54" s="41">
        <f>SUM('Abr 25'!F55)</f>
        <v>12.059000000000001</v>
      </c>
      <c r="H54" s="41">
        <f>SUM('May 25'!F55)</f>
        <v>7.218</v>
      </c>
      <c r="I54" s="41">
        <f>SUM('Jun 25'!F55)</f>
        <v>2E-3</v>
      </c>
      <c r="J54" s="41">
        <f>SUM('Jul 25'!F55)</f>
        <v>6.1980000000000004</v>
      </c>
      <c r="K54" s="41">
        <f>SUM('Ago 25'!F55)</f>
        <v>6.4910000000000005</v>
      </c>
      <c r="L54" s="41">
        <f>SUM('Sep 25'!F55)</f>
        <v>9.8729999999999993</v>
      </c>
      <c r="M54" s="41">
        <f>SUM('Oct 25'!F55)</f>
        <v>9.8729999999999993</v>
      </c>
      <c r="N54" s="41">
        <f>SUM('Nov 25'!F55)</f>
        <v>9.3330000000000002</v>
      </c>
      <c r="O54" s="41">
        <f>SUM('Dic 25'!F55)</f>
        <v>8.4730000000000008</v>
      </c>
    </row>
    <row r="55" spans="2:15" x14ac:dyDescent="0.45">
      <c r="B55" s="46" t="s">
        <v>5</v>
      </c>
      <c r="C55" s="46">
        <v>402</v>
      </c>
      <c r="D55" s="41">
        <f>'Ene 25'!F56</f>
        <v>32.491</v>
      </c>
      <c r="E55" s="41">
        <f>'Feb 25'!F56</f>
        <v>5.4770000000000003</v>
      </c>
      <c r="F55" s="41">
        <f>SUM('Mar 25'!F56)</f>
        <v>5.1100000000000003</v>
      </c>
      <c r="G55" s="41">
        <f>SUM('Abr 25'!F56)</f>
        <v>4.7750000000000004</v>
      </c>
      <c r="H55" s="41">
        <f>SUM('May 25'!F56)</f>
        <v>9.293000000000001</v>
      </c>
      <c r="I55" s="41">
        <f>SUM('Jun 25'!F56)</f>
        <v>2.3610000000000002</v>
      </c>
      <c r="J55" s="41">
        <f>SUM('Jul 25'!F56)</f>
        <v>2.9420000000000002</v>
      </c>
      <c r="K55" s="41">
        <f>SUM('Ago 25'!F56)</f>
        <v>3.0779999999999998</v>
      </c>
      <c r="L55" s="41">
        <f>SUM('Sep 25'!F56)</f>
        <v>2.556</v>
      </c>
      <c r="M55" s="41">
        <f>SUM('Oct 25'!F56)</f>
        <v>2.556</v>
      </c>
      <c r="N55" s="41">
        <f>SUM('Nov 25'!F56)</f>
        <v>6.4510000000000005</v>
      </c>
      <c r="O55" s="41">
        <f>SUM('Dic 25'!F56)</f>
        <v>5.9969999999999999</v>
      </c>
    </row>
    <row r="56" spans="2:15" x14ac:dyDescent="0.45">
      <c r="B56" s="46" t="s">
        <v>5</v>
      </c>
      <c r="C56" s="46">
        <v>403</v>
      </c>
      <c r="D56" s="41">
        <f>'Ene 25'!F57</f>
        <v>5.89</v>
      </c>
      <c r="E56" s="41">
        <f>'Feb 25'!F57</f>
        <v>6.07</v>
      </c>
      <c r="F56" s="41">
        <f>SUM('Mar 25'!F57)</f>
        <v>24.35</v>
      </c>
      <c r="G56" s="41">
        <f>SUM('Abr 25'!F57)</f>
        <v>19.45</v>
      </c>
      <c r="H56" s="41">
        <f>SUM('May 25'!F57)</f>
        <v>13.870000000000001</v>
      </c>
      <c r="I56" s="41">
        <f>SUM('Jun 25'!F57)</f>
        <v>16.96</v>
      </c>
      <c r="J56" s="41">
        <f>SUM('Jul 25'!F57)</f>
        <v>12.46</v>
      </c>
      <c r="K56" s="41">
        <f>SUM('Ago 25'!F57)</f>
        <v>23.67</v>
      </c>
      <c r="L56" s="41">
        <f>SUM('Sep 25'!F57)</f>
        <v>8.31</v>
      </c>
      <c r="M56" s="41">
        <f>SUM('Oct 25'!F57)</f>
        <v>8.31</v>
      </c>
      <c r="N56" s="41">
        <f>SUM('Nov 25'!F57)</f>
        <v>16.3</v>
      </c>
      <c r="O56" s="41">
        <f>SUM('Dic 25'!F57)</f>
        <v>18.86</v>
      </c>
    </row>
    <row r="57" spans="2:15" x14ac:dyDescent="0.45">
      <c r="B57" s="46" t="s">
        <v>5</v>
      </c>
      <c r="C57" s="46">
        <v>404</v>
      </c>
      <c r="D57" s="41">
        <f>'Ene 25'!F58</f>
        <v>12.688000000000001</v>
      </c>
      <c r="E57" s="41">
        <f>'Feb 25'!F58</f>
        <v>11.502000000000001</v>
      </c>
      <c r="F57" s="41">
        <f>SUM('Mar 25'!F58)</f>
        <v>11.316000000000001</v>
      </c>
      <c r="G57" s="41">
        <f>SUM('Abr 25'!F58)</f>
        <v>12.125999999999999</v>
      </c>
      <c r="H57" s="41">
        <f>SUM('May 25'!F58)</f>
        <v>10.368</v>
      </c>
      <c r="I57" s="41">
        <f>SUM('Jun 25'!F58)</f>
        <v>10.144</v>
      </c>
      <c r="J57" s="41">
        <f>SUM('Jul 25'!F58)</f>
        <v>11.333</v>
      </c>
      <c r="K57" s="41">
        <f>SUM('Ago 25'!F58)</f>
        <v>11.287000000000001</v>
      </c>
      <c r="L57" s="41">
        <f>SUM('Sep 25'!F58)</f>
        <v>11.076000000000001</v>
      </c>
      <c r="M57" s="41">
        <f>SUM('Oct 25'!F58)</f>
        <v>11.076000000000001</v>
      </c>
      <c r="N57" s="41">
        <f>SUM('Nov 25'!F58)</f>
        <v>12.308</v>
      </c>
      <c r="O57" s="41">
        <f>SUM('Dic 25'!F58)</f>
        <v>12.037000000000001</v>
      </c>
    </row>
    <row r="58" spans="2:15" x14ac:dyDescent="0.45">
      <c r="B58" s="46" t="s">
        <v>5</v>
      </c>
      <c r="C58" s="46">
        <v>501</v>
      </c>
      <c r="D58" s="41">
        <f>'Ene 25'!F59</f>
        <v>35.783000000000001</v>
      </c>
      <c r="E58" s="41">
        <f>'Feb 25'!F59</f>
        <v>56.003</v>
      </c>
      <c r="F58" s="41">
        <f>SUM('Mar 25'!F59)</f>
        <v>51.219000000000001</v>
      </c>
      <c r="G58" s="41">
        <f>SUM('Abr 25'!F59)</f>
        <v>68.662999999999997</v>
      </c>
      <c r="H58" s="41">
        <f>SUM('May 25'!F59)</f>
        <v>46.634999999999998</v>
      </c>
      <c r="I58" s="41">
        <f>SUM('Jun 25'!F59)</f>
        <v>13.008000000000001</v>
      </c>
      <c r="J58" s="41">
        <f>SUM('Jul 25'!F59)</f>
        <v>43.896000000000001</v>
      </c>
      <c r="K58" s="41">
        <f>SUM('Ago 25'!F59)</f>
        <v>53.088000000000001</v>
      </c>
      <c r="L58" s="41">
        <f>SUM('Sep 25'!F59)</f>
        <v>44.725000000000001</v>
      </c>
      <c r="M58" s="41">
        <f>SUM('Oct 25'!F59)</f>
        <v>44.725000000000001</v>
      </c>
      <c r="N58" s="41">
        <f>SUM('Nov 25'!F59)</f>
        <v>38.463000000000001</v>
      </c>
      <c r="O58" s="41">
        <f>SUM('Dic 25'!F59)</f>
        <v>33.689</v>
      </c>
    </row>
    <row r="59" spans="2:15" x14ac:dyDescent="0.45">
      <c r="B59" s="46" t="s">
        <v>5</v>
      </c>
      <c r="C59" s="46">
        <v>502</v>
      </c>
      <c r="D59" s="41">
        <f>'Ene 25'!F60</f>
        <v>11.956</v>
      </c>
      <c r="E59" s="41">
        <f>'Feb 25'!F60</f>
        <v>13.06</v>
      </c>
      <c r="F59" s="41">
        <f>SUM('Mar 25'!F60)</f>
        <v>10.513999999999999</v>
      </c>
      <c r="G59" s="41">
        <f>SUM('Abr 25'!F60)</f>
        <v>14.72</v>
      </c>
      <c r="H59" s="41">
        <f>SUM('May 25'!F60)</f>
        <v>13.030000000000001</v>
      </c>
      <c r="I59" s="41">
        <f>SUM('Jun 25'!F60)</f>
        <v>12.014000000000001</v>
      </c>
      <c r="J59" s="41">
        <f>SUM('Jul 25'!F60)</f>
        <v>12.61</v>
      </c>
      <c r="K59" s="41">
        <f>SUM('Ago 25'!F60)</f>
        <v>11.286</v>
      </c>
      <c r="L59" s="41">
        <f>SUM('Sep 25'!F60)</f>
        <v>15.103</v>
      </c>
      <c r="M59" s="41">
        <f>SUM('Oct 25'!F60)</f>
        <v>15.103</v>
      </c>
      <c r="N59" s="41">
        <f>SUM('Nov 25'!F60)</f>
        <v>15.193</v>
      </c>
      <c r="O59" s="41">
        <f>SUM('Dic 25'!F60)</f>
        <v>15.112</v>
      </c>
    </row>
    <row r="60" spans="2:15" x14ac:dyDescent="0.45">
      <c r="B60" s="46" t="s">
        <v>5</v>
      </c>
      <c r="C60" s="46">
        <v>503</v>
      </c>
      <c r="D60" s="41">
        <f>'Ene 25'!F61</f>
        <v>27.838000000000001</v>
      </c>
      <c r="E60" s="41">
        <f>'Feb 25'!F61</f>
        <v>34.997999999999998</v>
      </c>
      <c r="F60" s="41">
        <f>SUM('Mar 25'!F61)</f>
        <v>23.801000000000002</v>
      </c>
      <c r="G60" s="41">
        <f>SUM('Abr 25'!F61)</f>
        <v>34.69</v>
      </c>
      <c r="H60" s="41">
        <f>SUM('May 25'!F61)</f>
        <v>28.238</v>
      </c>
      <c r="I60" s="41">
        <f>SUM('Jun 25'!F61)</f>
        <v>29.88</v>
      </c>
      <c r="J60" s="41">
        <f>SUM('Jul 25'!F61)</f>
        <v>30.67</v>
      </c>
      <c r="K60" s="41">
        <f>SUM('Ago 25'!F61)</f>
        <v>28.884</v>
      </c>
      <c r="L60" s="41">
        <f>SUM('Sep 25'!F61)</f>
        <v>26.184000000000001</v>
      </c>
      <c r="M60" s="41">
        <f>SUM('Oct 25'!F61)</f>
        <v>26.184000000000001</v>
      </c>
      <c r="N60" s="41">
        <f>SUM('Nov 25'!F61)</f>
        <v>26.666</v>
      </c>
      <c r="O60" s="41">
        <f>SUM('Dic 25'!F61)</f>
        <v>34.061999999999998</v>
      </c>
    </row>
    <row r="61" spans="2:15" x14ac:dyDescent="0.45">
      <c r="B61" s="46" t="s">
        <v>5</v>
      </c>
      <c r="C61" s="46">
        <v>504</v>
      </c>
      <c r="D61" s="41">
        <f>'Ene 25'!F62</f>
        <v>17.591000000000001</v>
      </c>
      <c r="E61" s="41">
        <f>'Feb 25'!F62</f>
        <v>20.434999999999999</v>
      </c>
      <c r="F61" s="41">
        <f>SUM('Mar 25'!F62)</f>
        <v>19.184999999999999</v>
      </c>
      <c r="G61" s="41">
        <f>SUM('Abr 25'!F62)</f>
        <v>20.312999999999999</v>
      </c>
      <c r="H61" s="41">
        <f>SUM('May 25'!F62)</f>
        <v>18.091000000000001</v>
      </c>
      <c r="I61" s="41">
        <f>SUM('Jun 25'!F62)</f>
        <v>18.8</v>
      </c>
      <c r="J61" s="41">
        <f>SUM('Jul 25'!F62)</f>
        <v>18.341999999999999</v>
      </c>
      <c r="K61" s="41">
        <f>SUM('Ago 25'!F62)</f>
        <v>17.643000000000001</v>
      </c>
      <c r="L61" s="41">
        <f>SUM('Sep 25'!F62)</f>
        <v>19.11</v>
      </c>
      <c r="M61" s="41">
        <f>SUM('Oct 25'!F62)</f>
        <v>19.11</v>
      </c>
      <c r="N61" s="41">
        <f>SUM('Nov 25'!F62)</f>
        <v>16.431000000000001</v>
      </c>
      <c r="O61" s="41">
        <f>SUM('Dic 25'!F62)</f>
        <v>16.491</v>
      </c>
    </row>
    <row r="62" spans="2:15" x14ac:dyDescent="0.45">
      <c r="B62" s="46" t="s">
        <v>6</v>
      </c>
      <c r="C62" s="46">
        <v>101</v>
      </c>
      <c r="D62" s="41">
        <f>'Ene 25'!F63</f>
        <v>14.143000000000001</v>
      </c>
      <c r="E62" s="41">
        <f>'Feb 25'!F63</f>
        <v>17.547000000000001</v>
      </c>
      <c r="F62" s="41">
        <f>SUM('Mar 25'!F63)</f>
        <v>21.818000000000001</v>
      </c>
      <c r="G62" s="41">
        <f>SUM('Abr 25'!F63)</f>
        <v>20.166</v>
      </c>
      <c r="H62" s="41">
        <f>SUM('May 25'!F63)</f>
        <v>26.135999999999999</v>
      </c>
      <c r="I62" s="41">
        <f>SUM('Jun 25'!F63)</f>
        <v>18.693999999999999</v>
      </c>
      <c r="J62" s="41">
        <f>SUM('Jul 25'!F63)</f>
        <v>17.155000000000001</v>
      </c>
      <c r="K62" s="41">
        <f>SUM('Ago 25'!F63)</f>
        <v>20.225000000000001</v>
      </c>
      <c r="L62" s="41">
        <f>SUM('Sep 25'!F63)</f>
        <v>17.045999999999999</v>
      </c>
      <c r="M62" s="41">
        <f>SUM('Oct 25'!F63)</f>
        <v>17.045999999999999</v>
      </c>
      <c r="N62" s="41">
        <f>SUM('Nov 25'!F63)</f>
        <v>12.902000000000001</v>
      </c>
      <c r="O62" s="41">
        <f>SUM('Dic 25'!F63)</f>
        <v>17.507000000000001</v>
      </c>
    </row>
    <row r="63" spans="2:15" x14ac:dyDescent="0.45">
      <c r="B63" s="46" t="s">
        <v>6</v>
      </c>
      <c r="C63" s="46">
        <v>102</v>
      </c>
      <c r="D63" s="41">
        <f>'Ene 25'!F64</f>
        <v>3.048</v>
      </c>
      <c r="E63" s="41">
        <f>'Feb 25'!F64</f>
        <v>20.917999999999999</v>
      </c>
      <c r="F63" s="41">
        <f>SUM('Mar 25'!F64)</f>
        <v>8.1959999999999997</v>
      </c>
      <c r="G63" s="41">
        <f>SUM('Abr 25'!F64)</f>
        <v>5.5609999999999999</v>
      </c>
      <c r="H63" s="41">
        <f>SUM('May 25'!F64)</f>
        <v>6.6879999999999997</v>
      </c>
      <c r="I63" s="41">
        <f>SUM('Jun 25'!F64)</f>
        <v>6.6870000000000003</v>
      </c>
      <c r="J63" s="41">
        <f>SUM('Jul 25'!F64)</f>
        <v>12.665000000000001</v>
      </c>
      <c r="K63" s="41">
        <f>SUM('Ago 25'!F64)</f>
        <v>2.6160000000000001</v>
      </c>
      <c r="L63" s="41">
        <f>SUM('Sep 25'!F64)</f>
        <v>0.53100000000000003</v>
      </c>
      <c r="M63" s="41">
        <f>SUM('Oct 25'!F64)</f>
        <v>0.53100000000000003</v>
      </c>
      <c r="N63" s="41">
        <f>SUM('Nov 25'!F64)</f>
        <v>10.186999999999999</v>
      </c>
      <c r="O63" s="41">
        <f>SUM('Dic 25'!F64)</f>
        <v>15.219000000000001</v>
      </c>
    </row>
    <row r="64" spans="2:15" x14ac:dyDescent="0.45">
      <c r="B64" s="46" t="s">
        <v>6</v>
      </c>
      <c r="C64" s="46">
        <v>103</v>
      </c>
      <c r="D64" s="41">
        <f>'Ene 25'!F65</f>
        <v>15.266999999999999</v>
      </c>
      <c r="E64" s="41">
        <f>'Feb 25'!F65</f>
        <v>18.397000000000002</v>
      </c>
      <c r="F64" s="41">
        <f>SUM('Mar 25'!F65)</f>
        <v>17.469000000000001</v>
      </c>
      <c r="G64" s="41">
        <f>SUM('Abr 25'!F65)</f>
        <v>18.900000000000002</v>
      </c>
      <c r="H64" s="41">
        <f>SUM('May 25'!F65)</f>
        <v>15.13</v>
      </c>
      <c r="I64" s="41">
        <f>SUM('Jun 25'!F65)</f>
        <v>16.478000000000002</v>
      </c>
      <c r="J64" s="41">
        <f>SUM('Jul 25'!F65)</f>
        <v>12.977</v>
      </c>
      <c r="K64" s="41">
        <f>SUM('Ago 25'!F65)</f>
        <v>11.183</v>
      </c>
      <c r="L64" s="41">
        <f>SUM('Sep 25'!F65)</f>
        <v>15.657999999999999</v>
      </c>
      <c r="M64" s="41">
        <f>SUM('Oct 25'!F65)</f>
        <v>15.657999999999999</v>
      </c>
      <c r="N64" s="41">
        <f>SUM('Nov 25'!F65)</f>
        <v>15.633000000000001</v>
      </c>
      <c r="O64" s="41">
        <f>SUM('Dic 25'!F65)</f>
        <v>16.439</v>
      </c>
    </row>
    <row r="65" spans="2:15" x14ac:dyDescent="0.45">
      <c r="B65" s="46" t="s">
        <v>6</v>
      </c>
      <c r="C65" s="46">
        <v>104</v>
      </c>
      <c r="D65" s="41">
        <f>'Ene 25'!F66</f>
        <v>14.822000000000001</v>
      </c>
      <c r="E65" s="41">
        <f>'Feb 25'!F66</f>
        <v>19.001999999999999</v>
      </c>
      <c r="F65" s="41">
        <f>SUM('Mar 25'!F66)</f>
        <v>17.103999999999999</v>
      </c>
      <c r="G65" s="41">
        <f>SUM('Abr 25'!F66)</f>
        <v>19.646000000000001</v>
      </c>
      <c r="H65" s="41">
        <f>SUM('May 25'!F66)</f>
        <v>19.615000000000002</v>
      </c>
      <c r="I65" s="41">
        <f>SUM('Jun 25'!F66)</f>
        <v>20.574999999999999</v>
      </c>
      <c r="J65" s="41">
        <f>SUM('Jul 25'!F66)</f>
        <v>22.215</v>
      </c>
      <c r="K65" s="41">
        <f>SUM('Ago 25'!F66)</f>
        <v>22.026</v>
      </c>
      <c r="L65" s="41">
        <f>SUM('Sep 25'!F66)</f>
        <v>23.048000000000002</v>
      </c>
      <c r="M65" s="41">
        <f>SUM('Oct 25'!F66)</f>
        <v>23.048000000000002</v>
      </c>
      <c r="N65" s="41">
        <f>SUM('Nov 25'!F66)</f>
        <v>26.717000000000002</v>
      </c>
      <c r="O65" s="41">
        <f>SUM('Dic 25'!F66)</f>
        <v>25.484000000000002</v>
      </c>
    </row>
    <row r="66" spans="2:15" x14ac:dyDescent="0.45">
      <c r="B66" s="46" t="s">
        <v>6</v>
      </c>
      <c r="C66" s="46">
        <v>201</v>
      </c>
      <c r="D66" s="41">
        <f>'Ene 25'!F67</f>
        <v>9.6330000000000009</v>
      </c>
      <c r="E66" s="41">
        <f>'Feb 25'!F67</f>
        <v>9.8049999999999997</v>
      </c>
      <c r="F66" s="41">
        <f>SUM('Mar 25'!F67)</f>
        <v>9.18</v>
      </c>
      <c r="G66" s="41">
        <f>SUM('Abr 25'!F67)</f>
        <v>10.928000000000001</v>
      </c>
      <c r="H66" s="41">
        <f>SUM('May 25'!F67)</f>
        <v>10.111000000000001</v>
      </c>
      <c r="I66" s="41">
        <f>SUM('Jun 25'!F67)</f>
        <v>8.7639999999999993</v>
      </c>
      <c r="J66" s="41">
        <f>SUM('Jul 25'!F67)</f>
        <v>8.5090000000000003</v>
      </c>
      <c r="K66" s="41">
        <f>SUM('Ago 25'!F67)</f>
        <v>4.6100000000000003</v>
      </c>
      <c r="L66" s="41">
        <f>SUM('Sep 25'!F67)</f>
        <v>8.7710000000000008</v>
      </c>
      <c r="M66" s="41">
        <f>SUM('Oct 25'!F67)</f>
        <v>8.7710000000000008</v>
      </c>
      <c r="N66" s="41">
        <f>SUM('Nov 25'!F67)</f>
        <v>11.824</v>
      </c>
      <c r="O66" s="41">
        <f>SUM('Dic 25'!F67)</f>
        <v>11.632</v>
      </c>
    </row>
    <row r="67" spans="2:15" x14ac:dyDescent="0.45">
      <c r="B67" s="46" t="s">
        <v>6</v>
      </c>
      <c r="C67" s="46">
        <v>202</v>
      </c>
      <c r="D67" s="41">
        <f>'Ene 25'!F68</f>
        <v>28.655000000000001</v>
      </c>
      <c r="E67" s="41">
        <f>'Feb 25'!F68</f>
        <v>32.411999999999999</v>
      </c>
      <c r="F67" s="41">
        <f>SUM('Mar 25'!F68)</f>
        <v>18.97</v>
      </c>
      <c r="G67" s="41">
        <f>SUM('Abr 25'!F68)</f>
        <v>14.750999999999999</v>
      </c>
      <c r="H67" s="41">
        <f>SUM('May 25'!F68)</f>
        <v>30.367000000000001</v>
      </c>
      <c r="I67" s="41">
        <f>SUM('Jun 25'!F68)</f>
        <v>34.555</v>
      </c>
      <c r="J67" s="41">
        <f>SUM('Jul 25'!F68)</f>
        <v>33.855000000000004</v>
      </c>
      <c r="K67" s="41">
        <f>SUM('Ago 25'!F68)</f>
        <v>39.474000000000004</v>
      </c>
      <c r="L67" s="41">
        <f>SUM('Sep 25'!F68)</f>
        <v>40.996000000000002</v>
      </c>
      <c r="M67" s="41">
        <f>SUM('Oct 25'!F68)</f>
        <v>40.996000000000002</v>
      </c>
      <c r="N67" s="41">
        <f>SUM('Nov 25'!F68)</f>
        <v>34.314999999999998</v>
      </c>
      <c r="O67" s="41">
        <f>SUM('Dic 25'!F68)</f>
        <v>36.338999999999999</v>
      </c>
    </row>
    <row r="68" spans="2:15" x14ac:dyDescent="0.45">
      <c r="B68" s="46" t="s">
        <v>6</v>
      </c>
      <c r="C68" s="46">
        <v>203</v>
      </c>
      <c r="D68" s="41">
        <f>'Ene 25'!F69</f>
        <v>1.6870000000000001</v>
      </c>
      <c r="E68" s="41">
        <f>'Feb 25'!F69</f>
        <v>1.381</v>
      </c>
      <c r="F68" s="41">
        <f>SUM('Mar 25'!F69)</f>
        <v>1.677</v>
      </c>
      <c r="G68" s="41">
        <f>SUM('Abr 25'!F69)</f>
        <v>2.2640000000000002</v>
      </c>
      <c r="H68" s="41">
        <f>SUM('May 25'!F69)</f>
        <v>2.4849999999999999</v>
      </c>
      <c r="I68" s="41">
        <f>SUM('Jun 25'!F69)</f>
        <v>3.6390000000000002</v>
      </c>
      <c r="J68" s="41">
        <f>SUM('Jul 25'!F69)</f>
        <v>2.7480000000000002</v>
      </c>
      <c r="K68" s="41">
        <f>SUM('Ago 25'!F69)</f>
        <v>2.5950000000000002</v>
      </c>
      <c r="L68" s="41">
        <f>SUM('Sep 25'!F69)</f>
        <v>1.978</v>
      </c>
      <c r="M68" s="41">
        <f>SUM('Oct 25'!F69)</f>
        <v>1.978</v>
      </c>
      <c r="N68" s="41">
        <f>SUM('Nov 25'!F69)</f>
        <v>1.9950000000000001</v>
      </c>
      <c r="O68" s="41">
        <f>SUM('Dic 25'!F69)</f>
        <v>2.2530000000000001</v>
      </c>
    </row>
    <row r="69" spans="2:15" x14ac:dyDescent="0.45">
      <c r="B69" s="46" t="s">
        <v>6</v>
      </c>
      <c r="C69" s="46">
        <v>204</v>
      </c>
      <c r="D69" s="41">
        <f>'Ene 25'!F70</f>
        <v>10.795999999999999</v>
      </c>
      <c r="E69" s="41">
        <f>'Feb 25'!F70</f>
        <v>15.72</v>
      </c>
      <c r="F69" s="41">
        <f>SUM('Mar 25'!F70)</f>
        <v>13.137</v>
      </c>
      <c r="G69" s="41">
        <f>SUM('Abr 25'!F70)</f>
        <v>14.979000000000001</v>
      </c>
      <c r="H69" s="41">
        <f>SUM('May 25'!F70)</f>
        <v>13.211</v>
      </c>
      <c r="I69" s="41">
        <f>SUM('Jun 25'!F70)</f>
        <v>13.761000000000001</v>
      </c>
      <c r="J69" s="41">
        <f>SUM('Jul 25'!F70)</f>
        <v>14.083</v>
      </c>
      <c r="K69" s="41">
        <f>SUM('Ago 25'!F70)</f>
        <v>13.039</v>
      </c>
      <c r="L69" s="41">
        <f>SUM('Sep 25'!F70)</f>
        <v>14.024000000000001</v>
      </c>
      <c r="M69" s="41">
        <f>SUM('Oct 25'!F70)</f>
        <v>14.024000000000001</v>
      </c>
      <c r="N69" s="41">
        <f>SUM('Nov 25'!F70)</f>
        <v>15.131</v>
      </c>
      <c r="O69" s="41">
        <f>SUM('Dic 25'!F70)</f>
        <v>12.952999999999999</v>
      </c>
    </row>
    <row r="70" spans="2:15" x14ac:dyDescent="0.45">
      <c r="B70" s="46" t="s">
        <v>6</v>
      </c>
      <c r="C70" s="46">
        <v>301</v>
      </c>
      <c r="D70" s="41">
        <f>'Ene 25'!F71</f>
        <v>12.945</v>
      </c>
      <c r="E70" s="41">
        <f>'Feb 25'!F71</f>
        <v>14.246</v>
      </c>
      <c r="F70" s="41">
        <f>SUM('Mar 25'!F71)</f>
        <v>14.397</v>
      </c>
      <c r="G70" s="41">
        <f>SUM('Abr 25'!F71)</f>
        <v>15.655000000000001</v>
      </c>
      <c r="H70" s="41">
        <f>SUM('May 25'!F71)</f>
        <v>13.628</v>
      </c>
      <c r="I70" s="41">
        <f>SUM('Jun 25'!F71)</f>
        <v>12.796000000000001</v>
      </c>
      <c r="J70" s="41">
        <f>SUM('Jul 25'!F71)</f>
        <v>12.8</v>
      </c>
      <c r="K70" s="41">
        <f>SUM('Ago 25'!F71)</f>
        <v>11.511000000000001</v>
      </c>
      <c r="L70" s="41">
        <f>SUM('Sep 25'!F71)</f>
        <v>11.894</v>
      </c>
      <c r="M70" s="41">
        <f>SUM('Oct 25'!F71)</f>
        <v>11.894</v>
      </c>
      <c r="N70" s="41">
        <f>SUM('Nov 25'!F71)</f>
        <v>15.862</v>
      </c>
      <c r="O70" s="41">
        <f>SUM('Dic 25'!F71)</f>
        <v>13.15</v>
      </c>
    </row>
    <row r="71" spans="2:15" x14ac:dyDescent="0.45">
      <c r="B71" s="46" t="s">
        <v>6</v>
      </c>
      <c r="C71" s="46">
        <v>302</v>
      </c>
      <c r="D71" s="41">
        <f>'Ene 25'!F72</f>
        <v>22.423000000000002</v>
      </c>
      <c r="E71" s="41">
        <f>'Feb 25'!F72</f>
        <v>19.302</v>
      </c>
      <c r="F71" s="41">
        <f>SUM('Mar 25'!F72)</f>
        <v>18.780999999999999</v>
      </c>
      <c r="G71" s="41">
        <f>SUM('Abr 25'!F72)</f>
        <v>19.036000000000001</v>
      </c>
      <c r="H71" s="41">
        <f>SUM('May 25'!F72)</f>
        <v>16.179000000000002</v>
      </c>
      <c r="I71" s="41">
        <f>SUM('Jun 25'!F72)</f>
        <v>16.292000000000002</v>
      </c>
      <c r="J71" s="41">
        <f>SUM('Jul 25'!F72)</f>
        <v>16.286000000000001</v>
      </c>
      <c r="K71" s="41">
        <f>SUM('Ago 25'!F72)</f>
        <v>17.368000000000002</v>
      </c>
      <c r="L71" s="41">
        <f>SUM('Sep 25'!F72)</f>
        <v>16.958000000000002</v>
      </c>
      <c r="M71" s="41">
        <f>SUM('Oct 25'!F72)</f>
        <v>16.958000000000002</v>
      </c>
      <c r="N71" s="41">
        <f>SUM('Nov 25'!F72)</f>
        <v>16.084</v>
      </c>
      <c r="O71" s="41">
        <f>SUM('Dic 25'!F72)</f>
        <v>19.833000000000002</v>
      </c>
    </row>
    <row r="72" spans="2:15" x14ac:dyDescent="0.45">
      <c r="B72" s="46" t="s">
        <v>6</v>
      </c>
      <c r="C72" s="46">
        <v>303</v>
      </c>
      <c r="D72" s="41">
        <f>'Ene 25'!F73</f>
        <v>14.676</v>
      </c>
      <c r="E72" s="41">
        <f>'Feb 25'!F73</f>
        <v>9.9809999999999999</v>
      </c>
      <c r="F72" s="41">
        <f>SUM('Mar 25'!F73)</f>
        <v>10.572000000000001</v>
      </c>
      <c r="G72" s="41">
        <f>SUM('Abr 25'!F73)</f>
        <v>9.2829999999999995</v>
      </c>
      <c r="H72" s="41">
        <f>SUM('May 25'!F73)</f>
        <v>7.2960000000000003</v>
      </c>
      <c r="I72" s="41">
        <f>SUM('Jun 25'!F73)</f>
        <v>8.01</v>
      </c>
      <c r="J72" s="41">
        <f>SUM('Jul 25'!F73)</f>
        <v>10.141999999999999</v>
      </c>
      <c r="K72" s="41">
        <f>SUM('Ago 25'!F73)</f>
        <v>12.07</v>
      </c>
      <c r="L72" s="41">
        <f>SUM('Sep 25'!F73)</f>
        <v>13.040000000000001</v>
      </c>
      <c r="M72" s="41">
        <f>SUM('Oct 25'!F73)</f>
        <v>13.040000000000001</v>
      </c>
      <c r="N72" s="41">
        <f>SUM('Nov 25'!F73)</f>
        <v>7.3870000000000005</v>
      </c>
      <c r="O72" s="41">
        <f>SUM('Dic 25'!F73)</f>
        <v>5.6420000000000003</v>
      </c>
    </row>
    <row r="73" spans="2:15" x14ac:dyDescent="0.45">
      <c r="B73" s="46" t="s">
        <v>6</v>
      </c>
      <c r="C73" s="46">
        <v>304</v>
      </c>
      <c r="D73" s="41">
        <f>'Ene 25'!F74</f>
        <v>3.8850000000000002</v>
      </c>
      <c r="E73" s="41">
        <f>'Feb 25'!F74</f>
        <v>7.8360000000000003</v>
      </c>
      <c r="F73" s="41">
        <f>SUM('Mar 25'!F74)</f>
        <v>8.0510000000000002</v>
      </c>
      <c r="G73" s="41">
        <f>SUM('Abr 25'!F74)</f>
        <v>9.67</v>
      </c>
      <c r="H73" s="41">
        <f>SUM('May 25'!F74)</f>
        <v>8.4250000000000007</v>
      </c>
      <c r="I73" s="41">
        <f>SUM('Jun 25'!F74)</f>
        <v>6.5289999999999999</v>
      </c>
      <c r="J73" s="41">
        <f>SUM('Jul 25'!F74)</f>
        <v>13.22</v>
      </c>
      <c r="K73" s="41">
        <f>SUM('Ago 25'!F74)</f>
        <v>7.298</v>
      </c>
      <c r="L73" s="41">
        <f>SUM('Sep 25'!F74)</f>
        <v>13.132</v>
      </c>
      <c r="M73" s="41">
        <f>SUM('Oct 25'!F74)</f>
        <v>13.132</v>
      </c>
      <c r="N73" s="41">
        <f>SUM('Nov 25'!F74)</f>
        <v>10.553000000000001</v>
      </c>
      <c r="O73" s="41">
        <f>SUM('Dic 25'!F74)</f>
        <v>8.9030000000000005</v>
      </c>
    </row>
    <row r="74" spans="2:15" x14ac:dyDescent="0.45">
      <c r="B74" s="46" t="s">
        <v>6</v>
      </c>
      <c r="C74" s="46">
        <v>401</v>
      </c>
      <c r="D74" s="41">
        <f>'Ene 25'!F75</f>
        <v>22.901</v>
      </c>
      <c r="E74" s="41">
        <f>'Feb 25'!F75</f>
        <v>23.496000000000002</v>
      </c>
      <c r="F74" s="41">
        <f>SUM('Mar 25'!F75)</f>
        <v>21.429000000000002</v>
      </c>
      <c r="G74" s="41">
        <f>SUM('Abr 25'!F75)</f>
        <v>22.298999999999999</v>
      </c>
      <c r="H74" s="41">
        <f>SUM('May 25'!F75)</f>
        <v>18.516000000000002</v>
      </c>
      <c r="I74" s="41">
        <f>SUM('Jun 25'!F75)</f>
        <v>14.937000000000001</v>
      </c>
      <c r="J74" s="41">
        <f>SUM('Jul 25'!F75)</f>
        <v>17.486000000000001</v>
      </c>
      <c r="K74" s="41">
        <f>SUM('Ago 25'!F75)</f>
        <v>13.397</v>
      </c>
      <c r="L74" s="41">
        <f>SUM('Sep 25'!F75)</f>
        <v>17.238</v>
      </c>
      <c r="M74" s="41">
        <f>SUM('Oct 25'!F75)</f>
        <v>17.238</v>
      </c>
      <c r="N74" s="41">
        <f>SUM('Nov 25'!F75)</f>
        <v>19.931000000000001</v>
      </c>
      <c r="O74" s="41">
        <f>SUM('Dic 25'!F75)</f>
        <v>19.488</v>
      </c>
    </row>
    <row r="75" spans="2:15" x14ac:dyDescent="0.45">
      <c r="B75" s="46" t="s">
        <v>6</v>
      </c>
      <c r="C75" s="46">
        <v>402</v>
      </c>
      <c r="D75" s="41">
        <f>'Ene 25'!F76</f>
        <v>21.059000000000001</v>
      </c>
      <c r="E75" s="41">
        <f>'Feb 25'!F76</f>
        <v>19.829000000000001</v>
      </c>
      <c r="F75" s="41">
        <f>SUM('Mar 25'!F76)</f>
        <v>38.279000000000003</v>
      </c>
      <c r="G75" s="41">
        <f>SUM('Abr 25'!F76)</f>
        <v>29.611000000000001</v>
      </c>
      <c r="H75" s="41">
        <f>SUM('May 25'!F76)</f>
        <v>23.522000000000002</v>
      </c>
      <c r="I75" s="41">
        <f>SUM('Jun 25'!F76)</f>
        <v>22.091999999999999</v>
      </c>
      <c r="J75" s="41">
        <f>SUM('Jul 25'!F76)</f>
        <v>23.6</v>
      </c>
      <c r="K75" s="41">
        <f>SUM('Ago 25'!F76)</f>
        <v>19.814</v>
      </c>
      <c r="L75" s="41">
        <f>SUM('Sep 25'!F76)</f>
        <v>25.054000000000002</v>
      </c>
      <c r="M75" s="41">
        <f>SUM('Oct 25'!F76)</f>
        <v>25.054000000000002</v>
      </c>
      <c r="N75" s="41">
        <f>SUM('Nov 25'!F76)</f>
        <v>24.119</v>
      </c>
      <c r="O75" s="41">
        <f>SUM('Dic 25'!F76)</f>
        <v>24.436</v>
      </c>
    </row>
    <row r="76" spans="2:15" x14ac:dyDescent="0.45">
      <c r="B76" s="46" t="s">
        <v>6</v>
      </c>
      <c r="C76" s="46">
        <v>403</v>
      </c>
      <c r="D76" s="41">
        <f>'Ene 25'!F77</f>
        <v>28.166</v>
      </c>
      <c r="E76" s="41">
        <f>'Feb 25'!F77</f>
        <v>23.295999999999999</v>
      </c>
      <c r="F76" s="41">
        <f>SUM('Mar 25'!F77)</f>
        <v>27.475000000000001</v>
      </c>
      <c r="G76" s="41">
        <f>SUM('Abr 25'!F77)</f>
        <v>34.152000000000001</v>
      </c>
      <c r="H76" s="41">
        <f>SUM('May 25'!F77)</f>
        <v>20.835000000000001</v>
      </c>
      <c r="I76" s="41">
        <f>SUM('Jun 25'!F77)</f>
        <v>21.93</v>
      </c>
      <c r="J76" s="41">
        <f>SUM('Jul 25'!F77)</f>
        <v>22.327999999999999</v>
      </c>
      <c r="K76" s="41">
        <f>SUM('Ago 25'!F77)</f>
        <v>25.024000000000001</v>
      </c>
      <c r="L76" s="41">
        <f>SUM('Sep 25'!F77)</f>
        <v>24.137</v>
      </c>
      <c r="M76" s="41">
        <f>SUM('Oct 25'!F77)</f>
        <v>24.137</v>
      </c>
      <c r="N76" s="41">
        <f>SUM('Nov 25'!F77)</f>
        <v>26.740000000000002</v>
      </c>
      <c r="O76" s="41">
        <f>SUM('Dic 25'!F77)</f>
        <v>21.965</v>
      </c>
    </row>
    <row r="77" spans="2:15" x14ac:dyDescent="0.45">
      <c r="B77" s="46" t="s">
        <v>6</v>
      </c>
      <c r="C77" s="46">
        <v>404</v>
      </c>
      <c r="D77" s="41">
        <f>'Ene 25'!F78</f>
        <v>12.239000000000001</v>
      </c>
      <c r="E77" s="41">
        <f>'Feb 25'!F78</f>
        <v>7.4990000000000006</v>
      </c>
      <c r="F77" s="41">
        <f>SUM('Mar 25'!F78)</f>
        <v>7.7919999999999998</v>
      </c>
      <c r="G77" s="41">
        <f>SUM('Abr 25'!F78)</f>
        <v>13.422000000000001</v>
      </c>
      <c r="H77" s="41">
        <f>SUM('May 25'!F78)</f>
        <v>11.023</v>
      </c>
      <c r="I77" s="41">
        <f>SUM('Jun 25'!F78)</f>
        <v>13.989000000000001</v>
      </c>
      <c r="J77" s="41">
        <f>SUM('Jul 25'!F78)</f>
        <v>16.519000000000002</v>
      </c>
      <c r="K77" s="41">
        <f>SUM('Ago 25'!F78)</f>
        <v>10.701000000000001</v>
      </c>
      <c r="L77" s="41">
        <f>SUM('Sep 25'!F78)</f>
        <v>16.144000000000002</v>
      </c>
      <c r="M77" s="41">
        <f>SUM('Oct 25'!F78)</f>
        <v>16.144000000000002</v>
      </c>
      <c r="N77" s="41">
        <f>SUM('Nov 25'!F78)</f>
        <v>18.52</v>
      </c>
      <c r="O77" s="41">
        <f>SUM('Dic 25'!F78)</f>
        <v>13.836</v>
      </c>
    </row>
    <row r="78" spans="2:15" x14ac:dyDescent="0.45">
      <c r="B78" s="46" t="s">
        <v>6</v>
      </c>
      <c r="C78" s="46">
        <v>501</v>
      </c>
      <c r="D78" s="41">
        <f>'Ene 25'!F79</f>
        <v>20.91</v>
      </c>
      <c r="E78" s="41">
        <f>'Feb 25'!F79</f>
        <v>45.557000000000002</v>
      </c>
      <c r="F78" s="41">
        <f>SUM('Mar 25'!F79)</f>
        <v>31.644000000000002</v>
      </c>
      <c r="G78" s="41">
        <f>SUM('Abr 25'!F79)</f>
        <v>29.321000000000002</v>
      </c>
      <c r="H78" s="41">
        <f>SUM('May 25'!F79)</f>
        <v>34.28</v>
      </c>
      <c r="I78" s="41">
        <f>SUM('Jun 25'!F79)</f>
        <v>31.596</v>
      </c>
      <c r="J78" s="41">
        <f>SUM('Jul 25'!F79)</f>
        <v>32.271999999999998</v>
      </c>
      <c r="K78" s="41">
        <f>SUM('Ago 25'!F79)</f>
        <v>27.356000000000002</v>
      </c>
      <c r="L78" s="41">
        <f>SUM('Sep 25'!F79)</f>
        <v>39.423999999999999</v>
      </c>
      <c r="M78" s="41">
        <f>SUM('Oct 25'!F79)</f>
        <v>39.423999999999999</v>
      </c>
      <c r="N78" s="41">
        <f>SUM('Nov 25'!F79)</f>
        <v>34.369999999999997</v>
      </c>
      <c r="O78" s="41">
        <f>SUM('Dic 25'!F79)</f>
        <v>42.652999999999999</v>
      </c>
    </row>
    <row r="79" spans="2:15" x14ac:dyDescent="0.45">
      <c r="B79" s="46" t="s">
        <v>6</v>
      </c>
      <c r="C79" s="46">
        <v>502</v>
      </c>
      <c r="D79" s="41">
        <f>'Ene 25'!F80</f>
        <v>18.676000000000002</v>
      </c>
      <c r="E79" s="41">
        <f>'Feb 25'!F80</f>
        <v>13.607000000000001</v>
      </c>
      <c r="F79" s="41">
        <f>SUM('Mar 25'!F80)</f>
        <v>16.768000000000001</v>
      </c>
      <c r="G79" s="41">
        <f>SUM('Abr 25'!F80)</f>
        <v>21.626999999999999</v>
      </c>
      <c r="H79" s="41">
        <f>SUM('May 25'!F80)</f>
        <v>35.56</v>
      </c>
      <c r="I79" s="41">
        <f>SUM('Jun 25'!F80)</f>
        <v>19.402000000000001</v>
      </c>
      <c r="J79" s="41">
        <f>SUM('Jul 25'!F80)</f>
        <v>17.216999999999999</v>
      </c>
      <c r="K79" s="41">
        <f>SUM('Ago 25'!F80)</f>
        <v>11.105</v>
      </c>
      <c r="L79" s="41">
        <f>SUM('Sep 25'!F80)</f>
        <v>16.724</v>
      </c>
      <c r="M79" s="41">
        <f>SUM('Oct 25'!F80)</f>
        <v>16.724</v>
      </c>
      <c r="N79" s="41">
        <f>SUM('Nov 25'!F80)</f>
        <v>22.385000000000002</v>
      </c>
      <c r="O79" s="41">
        <f>SUM('Dic 25'!F80)</f>
        <v>22.978999999999999</v>
      </c>
    </row>
    <row r="80" spans="2:15" x14ac:dyDescent="0.45">
      <c r="B80" s="46" t="s">
        <v>6</v>
      </c>
      <c r="C80" s="46">
        <v>503</v>
      </c>
      <c r="D80" s="41">
        <f>'Ene 25'!F81</f>
        <v>4.4969999999999999</v>
      </c>
      <c r="E80" s="41">
        <f>'Feb 25'!F81</f>
        <v>3.101</v>
      </c>
      <c r="F80" s="41">
        <f>SUM('Mar 25'!F81)</f>
        <v>4.0049999999999999</v>
      </c>
      <c r="G80" s="41">
        <f>SUM('Abr 25'!F81)</f>
        <v>14.236000000000001</v>
      </c>
      <c r="H80" s="41">
        <f>SUM('May 25'!F81)</f>
        <v>15.016</v>
      </c>
      <c r="I80" s="41">
        <f>SUM('Jun 25'!F81)</f>
        <v>17.032</v>
      </c>
      <c r="J80" s="41">
        <f>SUM('Jul 25'!F81)</f>
        <v>15.106</v>
      </c>
      <c r="K80" s="41">
        <f>SUM('Ago 25'!F81)</f>
        <v>19.876000000000001</v>
      </c>
      <c r="L80" s="41">
        <f>SUM('Sep 25'!F81)</f>
        <v>15.327</v>
      </c>
      <c r="M80" s="41">
        <f>SUM('Oct 25'!F81)</f>
        <v>15.327</v>
      </c>
      <c r="N80" s="41">
        <f>SUM('Nov 25'!F81)</f>
        <v>14.113</v>
      </c>
      <c r="O80" s="41">
        <f>SUM('Dic 25'!F81)</f>
        <v>15.276</v>
      </c>
    </row>
    <row r="81" spans="2:15" x14ac:dyDescent="0.45">
      <c r="B81" s="46" t="s">
        <v>6</v>
      </c>
      <c r="C81" s="46">
        <v>504</v>
      </c>
      <c r="D81" s="41">
        <f>'Ene 25'!F82</f>
        <v>22.209</v>
      </c>
      <c r="E81" s="41">
        <f>'Feb 25'!F82</f>
        <v>26.696000000000002</v>
      </c>
      <c r="F81" s="41">
        <f>SUM('Mar 25'!F82)</f>
        <v>26.487000000000002</v>
      </c>
      <c r="G81" s="41">
        <f>SUM('Abr 25'!F82)</f>
        <v>34.304000000000002</v>
      </c>
      <c r="H81" s="41">
        <f>SUM('May 25'!F82)</f>
        <v>28.738</v>
      </c>
      <c r="I81" s="41">
        <f>SUM('Jun 25'!F82)</f>
        <v>26.685000000000002</v>
      </c>
      <c r="J81" s="41">
        <f>SUM('Jul 25'!F82)</f>
        <v>29.55</v>
      </c>
      <c r="K81" s="41">
        <f>SUM('Ago 25'!F82)</f>
        <v>22.7</v>
      </c>
      <c r="L81" s="41">
        <f>SUM('Sep 25'!F82)</f>
        <v>26.812999999999999</v>
      </c>
      <c r="M81" s="41">
        <f>SUM('Oct 25'!F82)</f>
        <v>26.812999999999999</v>
      </c>
      <c r="N81" s="41">
        <f>SUM('Nov 25'!F82)</f>
        <v>19.024000000000001</v>
      </c>
      <c r="O81" s="41">
        <f>SUM('Dic 25'!F82)</f>
        <v>23.312000000000001</v>
      </c>
    </row>
    <row r="82" spans="2:15" x14ac:dyDescent="0.45">
      <c r="B82" s="46" t="s">
        <v>7</v>
      </c>
      <c r="C82" s="46">
        <v>101</v>
      </c>
      <c r="D82" s="41">
        <f>'Ene 25'!F83</f>
        <v>35.247999999999998</v>
      </c>
      <c r="E82" s="41">
        <f>'Feb 25'!F83</f>
        <v>29.727</v>
      </c>
      <c r="F82" s="41">
        <f>SUM('Mar 25'!F83)</f>
        <v>28.478000000000002</v>
      </c>
      <c r="G82" s="41">
        <f>SUM('Abr 25'!F83)</f>
        <v>37.933999999999997</v>
      </c>
      <c r="H82" s="41">
        <f>SUM('May 25'!F83)</f>
        <v>31.785</v>
      </c>
      <c r="I82" s="41">
        <f>SUM('Jun 25'!F83)</f>
        <v>40.262</v>
      </c>
      <c r="J82" s="41">
        <f>SUM('Jul 25'!F83)</f>
        <v>29.374000000000002</v>
      </c>
      <c r="K82" s="41">
        <f>SUM('Ago 25'!F83)</f>
        <v>35.737000000000002</v>
      </c>
      <c r="L82" s="41">
        <f>SUM('Sep 25'!F83)</f>
        <v>41.322000000000003</v>
      </c>
      <c r="M82" s="41">
        <f>SUM('Oct 25'!F83)</f>
        <v>41.322000000000003</v>
      </c>
      <c r="N82" s="41">
        <f>SUM('Nov 25'!F83)</f>
        <v>32.185000000000002</v>
      </c>
      <c r="O82" s="41">
        <f>SUM('Dic 25'!F83)</f>
        <v>29.222000000000001</v>
      </c>
    </row>
    <row r="83" spans="2:15" x14ac:dyDescent="0.45">
      <c r="B83" s="46" t="s">
        <v>7</v>
      </c>
      <c r="C83" s="46">
        <v>102</v>
      </c>
      <c r="D83" s="41">
        <f>'Ene 25'!F84</f>
        <v>20.126999999999999</v>
      </c>
      <c r="E83" s="41">
        <f>'Feb 25'!F84</f>
        <v>20.98</v>
      </c>
      <c r="F83" s="41">
        <f>SUM('Mar 25'!F84)</f>
        <v>19.286999999999999</v>
      </c>
      <c r="G83" s="41">
        <f>SUM('Abr 25'!F84)</f>
        <v>23.064</v>
      </c>
      <c r="H83" s="41">
        <f>SUM('May 25'!F84)</f>
        <v>19.84</v>
      </c>
      <c r="I83" s="41">
        <f>SUM('Jun 25'!F84)</f>
        <v>19.617000000000001</v>
      </c>
      <c r="J83" s="41">
        <f>SUM('Jul 25'!F84)</f>
        <v>19.134</v>
      </c>
      <c r="K83" s="41">
        <f>SUM('Ago 25'!F84)</f>
        <v>19.937000000000001</v>
      </c>
      <c r="L83" s="41">
        <f>SUM('Sep 25'!F84)</f>
        <v>20.471</v>
      </c>
      <c r="M83" s="41">
        <f>SUM('Oct 25'!F84)</f>
        <v>20.471</v>
      </c>
      <c r="N83" s="41">
        <f>SUM('Nov 25'!F84)</f>
        <v>20.07</v>
      </c>
      <c r="O83" s="41">
        <f>SUM('Dic 25'!F84)</f>
        <v>19.675000000000001</v>
      </c>
    </row>
    <row r="84" spans="2:15" x14ac:dyDescent="0.45">
      <c r="B84" s="46" t="s">
        <v>7</v>
      </c>
      <c r="C84" s="46">
        <v>103</v>
      </c>
      <c r="D84" s="41">
        <f>'Ene 25'!F85</f>
        <v>4.0680000000000005</v>
      </c>
      <c r="E84" s="41">
        <f>'Feb 25'!F85</f>
        <v>3.9020000000000001</v>
      </c>
      <c r="F84" s="41">
        <f>SUM('Mar 25'!F85)</f>
        <v>3.1890000000000001</v>
      </c>
      <c r="G84" s="41">
        <f>SUM('Abr 25'!F85)</f>
        <v>4.2969999999999997</v>
      </c>
      <c r="H84" s="41">
        <f>SUM('May 25'!F85)</f>
        <v>3.367</v>
      </c>
      <c r="I84" s="41">
        <f>SUM('Jun 25'!F85)</f>
        <v>3.6550000000000002</v>
      </c>
      <c r="J84" s="41">
        <f>SUM('Jul 25'!F85)</f>
        <v>3.605</v>
      </c>
      <c r="K84" s="41">
        <f>SUM('Ago 25'!F85)</f>
        <v>23.013000000000002</v>
      </c>
      <c r="L84" s="41">
        <f>SUM('Sep 25'!F85)</f>
        <v>4.3460000000000001</v>
      </c>
      <c r="M84" s="41">
        <f>SUM('Oct 25'!F85)</f>
        <v>4.3460000000000001</v>
      </c>
      <c r="N84" s="41">
        <f>SUM('Nov 25'!F85)</f>
        <v>4.2789999999999999</v>
      </c>
      <c r="O84" s="41">
        <f>SUM('Dic 25'!F85)</f>
        <v>4.5609999999999999</v>
      </c>
    </row>
    <row r="85" spans="2:15" x14ac:dyDescent="0.45">
      <c r="B85" s="46" t="s">
        <v>7</v>
      </c>
      <c r="C85" s="46">
        <v>104</v>
      </c>
      <c r="D85" s="41">
        <f>'Ene 25'!F86</f>
        <v>13.185</v>
      </c>
      <c r="E85" s="41">
        <f>'Feb 25'!F86</f>
        <v>14.513</v>
      </c>
      <c r="F85" s="41">
        <f>SUM('Mar 25'!F86)</f>
        <v>14.634</v>
      </c>
      <c r="G85" s="41">
        <f>SUM('Abr 25'!F86)</f>
        <v>20.937999999999999</v>
      </c>
      <c r="H85" s="41">
        <f>SUM('May 25'!F86)</f>
        <v>15.355</v>
      </c>
      <c r="I85" s="41">
        <f>SUM('Jun 25'!F86)</f>
        <v>17.872</v>
      </c>
      <c r="J85" s="41">
        <f>SUM('Jul 25'!F86)</f>
        <v>16.526</v>
      </c>
      <c r="K85" s="41">
        <f>SUM('Ago 25'!F86)</f>
        <v>17.364000000000001</v>
      </c>
      <c r="L85" s="41">
        <f>SUM('Sep 25'!F86)</f>
        <v>16.814</v>
      </c>
      <c r="M85" s="41">
        <f>SUM('Oct 25'!F86)</f>
        <v>16.814</v>
      </c>
      <c r="N85" s="41">
        <f>SUM('Nov 25'!F86)</f>
        <v>16.187999999999999</v>
      </c>
      <c r="O85" s="41">
        <f>SUM('Dic 25'!F86)</f>
        <v>17.667000000000002</v>
      </c>
    </row>
    <row r="86" spans="2:15" x14ac:dyDescent="0.45">
      <c r="B86" s="46" t="s">
        <v>7</v>
      </c>
      <c r="C86" s="46">
        <v>201</v>
      </c>
      <c r="D86" s="41">
        <f>'Ene 25'!F87</f>
        <v>25.086000000000002</v>
      </c>
      <c r="E86" s="41">
        <f>'Feb 25'!F87</f>
        <v>25.5</v>
      </c>
      <c r="F86" s="41">
        <f>SUM('Mar 25'!F87)</f>
        <v>19.46</v>
      </c>
      <c r="G86" s="41">
        <f>SUM('Abr 25'!F87)</f>
        <v>29.016000000000002</v>
      </c>
      <c r="H86" s="41">
        <f>SUM('May 25'!F87)</f>
        <v>27.051000000000002</v>
      </c>
      <c r="I86" s="41">
        <f>SUM('Jun 25'!F87)</f>
        <v>31.641999999999999</v>
      </c>
      <c r="J86" s="41">
        <f>SUM('Jul 25'!F87)</f>
        <v>34.170999999999999</v>
      </c>
      <c r="K86" s="41">
        <f>SUM('Ago 25'!F87)</f>
        <v>26.126999999999999</v>
      </c>
      <c r="L86" s="41">
        <f>SUM('Sep 25'!F87)</f>
        <v>34.271000000000001</v>
      </c>
      <c r="M86" s="41">
        <f>SUM('Oct 25'!F87)</f>
        <v>34.271000000000001</v>
      </c>
      <c r="N86" s="41">
        <f>SUM('Nov 25'!F87)</f>
        <v>35.127000000000002</v>
      </c>
      <c r="O86" s="41">
        <f>SUM('Dic 25'!F87)</f>
        <v>35.419000000000004</v>
      </c>
    </row>
    <row r="87" spans="2:15" x14ac:dyDescent="0.45">
      <c r="B87" s="46" t="s">
        <v>7</v>
      </c>
      <c r="C87" s="46">
        <v>202</v>
      </c>
      <c r="D87" s="41">
        <f>'Ene 25'!F88</f>
        <v>0</v>
      </c>
      <c r="E87" s="41">
        <f>'Feb 25'!F88</f>
        <v>0</v>
      </c>
      <c r="F87" s="41">
        <f>SUM('Mar 25'!F88)</f>
        <v>0</v>
      </c>
      <c r="G87" s="41">
        <f>SUM('Abr 25'!F88)</f>
        <v>0</v>
      </c>
      <c r="H87" s="41">
        <f>SUM('May 25'!F88)</f>
        <v>0</v>
      </c>
      <c r="I87" s="41">
        <f>SUM('Jun 25'!F88)</f>
        <v>0</v>
      </c>
      <c r="J87" s="41">
        <f>SUM('Jul 25'!F88)</f>
        <v>0.71</v>
      </c>
      <c r="K87" s="41">
        <f>SUM('Ago 25'!F88)</f>
        <v>8.2100000000000009</v>
      </c>
      <c r="L87" s="41">
        <f>SUM('Sep 25'!F88)</f>
        <v>2.88</v>
      </c>
      <c r="M87" s="41">
        <f>SUM('Oct 25'!F88)</f>
        <v>2.88</v>
      </c>
      <c r="N87" s="41">
        <f>SUM('Nov 25'!F88)</f>
        <v>0.04</v>
      </c>
      <c r="O87" s="41">
        <f>SUM('Dic 25'!F88)</f>
        <v>0</v>
      </c>
    </row>
    <row r="88" spans="2:15" x14ac:dyDescent="0.45">
      <c r="B88" s="46" t="s">
        <v>7</v>
      </c>
      <c r="C88" s="46">
        <v>203</v>
      </c>
      <c r="D88" s="41">
        <f>'Ene 25'!F89</f>
        <v>34.006999999999998</v>
      </c>
      <c r="E88" s="41">
        <f>'Feb 25'!F89</f>
        <v>34.911000000000001</v>
      </c>
      <c r="F88" s="41">
        <f>SUM('Mar 25'!F89)</f>
        <v>33.756999999999998</v>
      </c>
      <c r="G88" s="41">
        <f>SUM('Abr 25'!F89)</f>
        <v>39.855000000000004</v>
      </c>
      <c r="H88" s="41">
        <f>SUM('May 25'!F89)</f>
        <v>32.236000000000004</v>
      </c>
      <c r="I88" s="41">
        <f>SUM('Jun 25'!F89)</f>
        <v>37.25</v>
      </c>
      <c r="J88" s="41">
        <f>SUM('Jul 25'!F89)</f>
        <v>33.558999999999997</v>
      </c>
      <c r="K88" s="41">
        <f>SUM('Ago 25'!F89)</f>
        <v>33.215000000000003</v>
      </c>
      <c r="L88" s="41">
        <f>SUM('Sep 25'!F89)</f>
        <v>27.869</v>
      </c>
      <c r="M88" s="41">
        <f>SUM('Oct 25'!F89)</f>
        <v>27.869</v>
      </c>
      <c r="N88" s="41">
        <f>SUM('Nov 25'!F89)</f>
        <v>29.244</v>
      </c>
      <c r="O88" s="41">
        <f>SUM('Dic 25'!F89)</f>
        <v>30.204000000000001</v>
      </c>
    </row>
    <row r="89" spans="2:15" x14ac:dyDescent="0.45">
      <c r="B89" s="46" t="s">
        <v>7</v>
      </c>
      <c r="C89" s="46">
        <v>204</v>
      </c>
      <c r="D89" s="41">
        <f>'Ene 25'!F90</f>
        <v>0.11</v>
      </c>
      <c r="E89" s="41">
        <f>'Feb 25'!F90</f>
        <v>0.04</v>
      </c>
      <c r="F89" s="41">
        <f>SUM('Mar 25'!F90)</f>
        <v>0.18</v>
      </c>
      <c r="G89" s="41">
        <f>SUM('Abr 25'!F90)</f>
        <v>0.24</v>
      </c>
      <c r="H89" s="41">
        <f>SUM('May 25'!F90)</f>
        <v>0.13</v>
      </c>
      <c r="I89" s="41">
        <f>SUM('Jun 25'!F90)</f>
        <v>0.57000000000000006</v>
      </c>
      <c r="J89" s="41">
        <f>SUM('Jul 25'!F90)</f>
        <v>0.09</v>
      </c>
      <c r="K89" s="41">
        <f>SUM('Ago 25'!F90)</f>
        <v>7.0000000000000007E-2</v>
      </c>
      <c r="L89" s="41">
        <f>SUM('Sep 25'!F90)</f>
        <v>0.17</v>
      </c>
      <c r="M89" s="41">
        <f>SUM('Oct 25'!F90)</f>
        <v>0.17</v>
      </c>
      <c r="N89" s="41">
        <f>SUM('Nov 25'!F90)</f>
        <v>0.25</v>
      </c>
      <c r="O89" s="41">
        <f>SUM('Dic 25'!F90)</f>
        <v>0.18</v>
      </c>
    </row>
    <row r="90" spans="2:15" x14ac:dyDescent="0.45">
      <c r="B90" s="46" t="s">
        <v>7</v>
      </c>
      <c r="C90" s="46">
        <v>301</v>
      </c>
      <c r="D90" s="41">
        <f>'Ene 25'!F91</f>
        <v>26.75</v>
      </c>
      <c r="E90" s="41">
        <f>'Feb 25'!F91</f>
        <v>27.245000000000001</v>
      </c>
      <c r="F90" s="41">
        <f>SUM('Mar 25'!F91)</f>
        <v>24.167999999999999</v>
      </c>
      <c r="G90" s="41">
        <f>SUM('Abr 25'!F91)</f>
        <v>25.038</v>
      </c>
      <c r="H90" s="41">
        <f>SUM('May 25'!F91)</f>
        <v>22.143000000000001</v>
      </c>
      <c r="I90" s="41">
        <f>SUM('Jun 25'!F91)</f>
        <v>23.391000000000002</v>
      </c>
      <c r="J90" s="41">
        <f>SUM('Jul 25'!F91)</f>
        <v>24.911000000000001</v>
      </c>
      <c r="K90" s="41">
        <f>SUM('Ago 25'!F91)</f>
        <v>26.071000000000002</v>
      </c>
      <c r="L90" s="41">
        <f>SUM('Sep 25'!F91)</f>
        <v>25.01</v>
      </c>
      <c r="M90" s="41">
        <f>SUM('Oct 25'!F91)</f>
        <v>25.01</v>
      </c>
      <c r="N90" s="41">
        <f>SUM('Nov 25'!F91)</f>
        <v>24.219000000000001</v>
      </c>
      <c r="O90" s="41">
        <f>SUM('Dic 25'!F91)</f>
        <v>32.250999999999998</v>
      </c>
    </row>
    <row r="91" spans="2:15" x14ac:dyDescent="0.45">
      <c r="B91" s="46" t="s">
        <v>7</v>
      </c>
      <c r="C91" s="46">
        <v>302</v>
      </c>
      <c r="D91" s="41">
        <f>'Ene 25'!F92</f>
        <v>38.489000000000004</v>
      </c>
      <c r="E91" s="41">
        <f>'Feb 25'!F92</f>
        <v>34.423999999999999</v>
      </c>
      <c r="F91" s="41">
        <f>SUM('Mar 25'!F92)</f>
        <v>29.007000000000001</v>
      </c>
      <c r="G91" s="41">
        <f>SUM('Abr 25'!F92)</f>
        <v>42.768000000000001</v>
      </c>
      <c r="H91" s="41">
        <f>SUM('May 25'!F92)</f>
        <v>33.555</v>
      </c>
      <c r="I91" s="41">
        <f>SUM('Jun 25'!F92)</f>
        <v>38.475999999999999</v>
      </c>
      <c r="J91" s="41">
        <f>SUM('Jul 25'!F92)</f>
        <v>35.131999999999998</v>
      </c>
      <c r="K91" s="41">
        <f>SUM('Ago 25'!F92)</f>
        <v>33.835999999999999</v>
      </c>
      <c r="L91" s="41">
        <f>SUM('Sep 25'!F92)</f>
        <v>33.375</v>
      </c>
      <c r="M91" s="41">
        <f>SUM('Oct 25'!F92)</f>
        <v>33.375</v>
      </c>
      <c r="N91" s="41">
        <f>SUM('Nov 25'!F92)</f>
        <v>29.898</v>
      </c>
      <c r="O91" s="41">
        <f>SUM('Dic 25'!F92)</f>
        <v>32.902000000000001</v>
      </c>
    </row>
    <row r="92" spans="2:15" x14ac:dyDescent="0.45">
      <c r="B92" s="46" t="s">
        <v>7</v>
      </c>
      <c r="C92" s="46">
        <v>303</v>
      </c>
      <c r="D92" s="41">
        <f>'Ene 25'!F93</f>
        <v>43.538000000000004</v>
      </c>
      <c r="E92" s="41">
        <f>'Feb 25'!F93</f>
        <v>49.694000000000003</v>
      </c>
      <c r="F92" s="41">
        <f>SUM('Mar 25'!F93)</f>
        <v>46.472999999999999</v>
      </c>
      <c r="G92" s="41">
        <f>SUM('Abr 25'!F93)</f>
        <v>73.558999999999997</v>
      </c>
      <c r="H92" s="41">
        <f>SUM('May 25'!F93)</f>
        <v>59.374000000000002</v>
      </c>
      <c r="I92" s="41">
        <f>SUM('Jun 25'!F93)</f>
        <v>39.849000000000004</v>
      </c>
      <c r="J92" s="41">
        <f>SUM('Jul 25'!F93)</f>
        <v>45.383000000000003</v>
      </c>
      <c r="K92" s="41">
        <f>SUM('Ago 25'!F93)</f>
        <v>42.701000000000001</v>
      </c>
      <c r="L92" s="41">
        <f>SUM('Sep 25'!F93)</f>
        <v>39.968000000000004</v>
      </c>
      <c r="M92" s="41">
        <f>SUM('Oct 25'!F93)</f>
        <v>39.968000000000004</v>
      </c>
      <c r="N92" s="41">
        <f>SUM('Nov 25'!F93)</f>
        <v>39.506</v>
      </c>
      <c r="O92" s="41">
        <f>SUM('Dic 25'!F93)</f>
        <v>33.953000000000003</v>
      </c>
    </row>
    <row r="93" spans="2:15" x14ac:dyDescent="0.45">
      <c r="B93" s="46" t="s">
        <v>7</v>
      </c>
      <c r="C93" s="46">
        <v>304</v>
      </c>
      <c r="D93" s="41">
        <f>'Ene 25'!F94</f>
        <v>11.319000000000001</v>
      </c>
      <c r="E93" s="41">
        <f>'Feb 25'!F94</f>
        <v>12.01</v>
      </c>
      <c r="F93" s="41">
        <f>SUM('Mar 25'!F94)</f>
        <v>11.746</v>
      </c>
      <c r="G93" s="41">
        <f>SUM('Abr 25'!F94)</f>
        <v>12.997</v>
      </c>
      <c r="H93" s="41">
        <f>SUM('May 25'!F94)</f>
        <v>4.6760000000000002</v>
      </c>
      <c r="I93" s="41">
        <f>SUM('Jun 25'!F94)</f>
        <v>11.463000000000001</v>
      </c>
      <c r="J93" s="41">
        <f>SUM('Jul 25'!F94)</f>
        <v>11.673</v>
      </c>
      <c r="K93" s="41">
        <f>SUM('Ago 25'!F94)</f>
        <v>8.697000000000001</v>
      </c>
      <c r="L93" s="41">
        <f>SUM('Sep 25'!F94)</f>
        <v>10.620000000000001</v>
      </c>
      <c r="M93" s="41">
        <f>SUM('Oct 25'!F94)</f>
        <v>10.620000000000001</v>
      </c>
      <c r="N93" s="41">
        <f>SUM('Nov 25'!F94)</f>
        <v>10.397</v>
      </c>
      <c r="O93" s="41">
        <f>SUM('Dic 25'!F94)</f>
        <v>12.436</v>
      </c>
    </row>
    <row r="94" spans="2:15" x14ac:dyDescent="0.45">
      <c r="B94" s="46" t="s">
        <v>7</v>
      </c>
      <c r="C94" s="46">
        <v>401</v>
      </c>
      <c r="D94" s="41">
        <f>'Ene 25'!F95</f>
        <v>20.350000000000001</v>
      </c>
      <c r="E94" s="41">
        <f>'Feb 25'!F95</f>
        <v>14.532</v>
      </c>
      <c r="F94" s="41">
        <f>SUM('Mar 25'!F95)</f>
        <v>8.61</v>
      </c>
      <c r="G94" s="41">
        <f>SUM('Abr 25'!F95)</f>
        <v>21.698</v>
      </c>
      <c r="H94" s="41">
        <f>SUM('May 25'!F95)</f>
        <v>15.835000000000001</v>
      </c>
      <c r="I94" s="41">
        <f>SUM('Jun 25'!F95)</f>
        <v>24.988</v>
      </c>
      <c r="J94" s="41">
        <f>SUM('Jul 25'!F95)</f>
        <v>21.503</v>
      </c>
      <c r="K94" s="41">
        <f>SUM('Ago 25'!F95)</f>
        <v>20.837</v>
      </c>
      <c r="L94" s="41">
        <f>SUM('Sep 25'!F95)</f>
        <v>21.137</v>
      </c>
      <c r="M94" s="41">
        <f>SUM('Oct 25'!F95)</f>
        <v>21.137</v>
      </c>
      <c r="N94" s="41">
        <f>SUM('Nov 25'!F95)</f>
        <v>20.205000000000002</v>
      </c>
      <c r="O94" s="41">
        <f>SUM('Dic 25'!F95)</f>
        <v>21.751000000000001</v>
      </c>
    </row>
    <row r="95" spans="2:15" x14ac:dyDescent="0.45">
      <c r="B95" s="46" t="s">
        <v>7</v>
      </c>
      <c r="C95" s="46">
        <v>402</v>
      </c>
      <c r="D95" s="41">
        <f>'Ene 25'!F96</f>
        <v>15.894</v>
      </c>
      <c r="E95" s="41">
        <f>'Feb 25'!F96</f>
        <v>15.647</v>
      </c>
      <c r="F95" s="41">
        <f>SUM('Mar 25'!F96)</f>
        <v>15.911</v>
      </c>
      <c r="G95" s="41">
        <f>SUM('Abr 25'!F96)</f>
        <v>15.539</v>
      </c>
      <c r="H95" s="41">
        <f>SUM('May 25'!F96)</f>
        <v>14.623000000000001</v>
      </c>
      <c r="I95" s="41">
        <f>SUM('Jun 25'!F96)</f>
        <v>13.712</v>
      </c>
      <c r="J95" s="41">
        <f>SUM('Jul 25'!F96)</f>
        <v>14.056000000000001</v>
      </c>
      <c r="K95" s="41">
        <f>SUM('Ago 25'!F96)</f>
        <v>13.367000000000001</v>
      </c>
      <c r="L95" s="41">
        <f>SUM('Sep 25'!F96)</f>
        <v>15.886000000000001</v>
      </c>
      <c r="M95" s="41">
        <f>SUM('Oct 25'!F96)</f>
        <v>15.886000000000001</v>
      </c>
      <c r="N95" s="41">
        <f>SUM('Nov 25'!F96)</f>
        <v>23.227</v>
      </c>
      <c r="O95" s="41">
        <f>SUM('Dic 25'!F96)</f>
        <v>27.986000000000001</v>
      </c>
    </row>
    <row r="96" spans="2:15" x14ac:dyDescent="0.45">
      <c r="B96" s="46" t="s">
        <v>7</v>
      </c>
      <c r="C96" s="46">
        <v>403</v>
      </c>
      <c r="D96" s="41">
        <f>'Ene 25'!F97</f>
        <v>9.6029999999999998</v>
      </c>
      <c r="E96" s="41">
        <f>'Feb 25'!F97</f>
        <v>9.8990000000000009</v>
      </c>
      <c r="F96" s="41">
        <f>SUM('Mar 25'!F97)</f>
        <v>5.4870000000000001</v>
      </c>
      <c r="G96" s="41">
        <f>SUM('Abr 25'!F97)</f>
        <v>14.199</v>
      </c>
      <c r="H96" s="41">
        <f>SUM('May 25'!F97)</f>
        <v>11.053000000000001</v>
      </c>
      <c r="I96" s="41">
        <f>SUM('Jun 25'!F97)</f>
        <v>11.436</v>
      </c>
      <c r="J96" s="41">
        <f>SUM('Jul 25'!F97)</f>
        <v>9.8740000000000006</v>
      </c>
      <c r="K96" s="41">
        <f>SUM('Ago 25'!F97)</f>
        <v>8.3889999999999993</v>
      </c>
      <c r="L96" s="41">
        <f>SUM('Sep 25'!F97)</f>
        <v>10.394</v>
      </c>
      <c r="M96" s="41">
        <f>SUM('Oct 25'!F97)</f>
        <v>10.394</v>
      </c>
      <c r="N96" s="41">
        <f>SUM('Nov 25'!F97)</f>
        <v>11.127000000000001</v>
      </c>
      <c r="O96" s="41">
        <f>SUM('Dic 25'!F97)</f>
        <v>11.649000000000001</v>
      </c>
    </row>
    <row r="97" spans="2:15" x14ac:dyDescent="0.45">
      <c r="B97" s="46" t="s">
        <v>7</v>
      </c>
      <c r="C97" s="46">
        <v>404</v>
      </c>
      <c r="D97" s="41">
        <f>'Ene 25'!F98</f>
        <v>10.152000000000001</v>
      </c>
      <c r="E97" s="41">
        <f>'Feb 25'!F98</f>
        <v>16.926000000000002</v>
      </c>
      <c r="F97" s="41">
        <f>SUM('Mar 25'!F98)</f>
        <v>15.514000000000001</v>
      </c>
      <c r="G97" s="41">
        <f>SUM('Abr 25'!F98)</f>
        <v>20.516000000000002</v>
      </c>
      <c r="H97" s="41">
        <f>SUM('May 25'!F98)</f>
        <v>18.123999999999999</v>
      </c>
      <c r="I97" s="41">
        <f>SUM('Jun 25'!F98)</f>
        <v>16.968</v>
      </c>
      <c r="J97" s="41">
        <f>SUM('Jul 25'!F98)</f>
        <v>17.957000000000001</v>
      </c>
      <c r="K97" s="41">
        <f>SUM('Ago 25'!F98)</f>
        <v>18.552</v>
      </c>
      <c r="L97" s="41">
        <f>SUM('Sep 25'!F98)</f>
        <v>18.359000000000002</v>
      </c>
      <c r="M97" s="41">
        <f>SUM('Oct 25'!F98)</f>
        <v>18.359000000000002</v>
      </c>
      <c r="N97" s="41">
        <f>SUM('Nov 25'!F98)</f>
        <v>13.657999999999999</v>
      </c>
      <c r="O97" s="41">
        <f>SUM('Dic 25'!F98)</f>
        <v>13.906000000000001</v>
      </c>
    </row>
    <row r="98" spans="2:15" x14ac:dyDescent="0.45">
      <c r="B98" s="46" t="s">
        <v>7</v>
      </c>
      <c r="C98" s="46">
        <v>501</v>
      </c>
      <c r="D98" s="41">
        <f>'Ene 25'!F99</f>
        <v>14.942</v>
      </c>
      <c r="E98" s="41">
        <f>'Feb 25'!F99</f>
        <v>14.89</v>
      </c>
      <c r="F98" s="41">
        <f>SUM('Mar 25'!F99)</f>
        <v>12.702999999999999</v>
      </c>
      <c r="G98" s="41">
        <f>SUM('Abr 25'!F99)</f>
        <v>13.682</v>
      </c>
      <c r="H98" s="41">
        <f>SUM('May 25'!F99)</f>
        <v>12.649000000000001</v>
      </c>
      <c r="I98" s="41">
        <f>SUM('Jun 25'!F99)</f>
        <v>13.005000000000001</v>
      </c>
      <c r="J98" s="41">
        <f>SUM('Jul 25'!F99)</f>
        <v>12.414</v>
      </c>
      <c r="K98" s="41">
        <f>SUM('Ago 25'!F99)</f>
        <v>20.757000000000001</v>
      </c>
      <c r="L98" s="41">
        <f>SUM('Sep 25'!F99)</f>
        <v>18.187000000000001</v>
      </c>
      <c r="M98" s="41">
        <f>SUM('Oct 25'!F99)</f>
        <v>18.187000000000001</v>
      </c>
      <c r="N98" s="41">
        <f>SUM('Nov 25'!F99)</f>
        <v>18.388999999999999</v>
      </c>
      <c r="O98" s="41">
        <f>SUM('Dic 25'!F99)</f>
        <v>22.464000000000002</v>
      </c>
    </row>
    <row r="99" spans="2:15" x14ac:dyDescent="0.45">
      <c r="B99" s="46" t="s">
        <v>7</v>
      </c>
      <c r="C99" s="46">
        <v>502</v>
      </c>
      <c r="D99" s="41">
        <f>'Ene 25'!F100</f>
        <v>20.52</v>
      </c>
      <c r="E99" s="41">
        <f>'Feb 25'!F100</f>
        <v>9.2170000000000005</v>
      </c>
      <c r="F99" s="41">
        <f>SUM('Mar 25'!F100)</f>
        <v>8.5920000000000005</v>
      </c>
      <c r="G99" s="41">
        <f>SUM('Abr 25'!F100)</f>
        <v>6.4130000000000003</v>
      </c>
      <c r="H99" s="41">
        <f>SUM('May 25'!F100)</f>
        <v>18.099</v>
      </c>
      <c r="I99" s="41">
        <f>SUM('Jun 25'!F100)</f>
        <v>9.7080000000000002</v>
      </c>
      <c r="J99" s="41">
        <f>SUM('Jul 25'!F100)</f>
        <v>8.8729999999999993</v>
      </c>
      <c r="K99" s="41">
        <f>SUM('Ago 25'!F100)</f>
        <v>8.2840000000000007</v>
      </c>
      <c r="L99" s="41">
        <f>SUM('Sep 25'!F100)</f>
        <v>9.072000000000001</v>
      </c>
      <c r="M99" s="41">
        <f>SUM('Oct 25'!F100)</f>
        <v>9.072000000000001</v>
      </c>
      <c r="N99" s="41">
        <f>SUM('Nov 25'!F100)</f>
        <v>13.814</v>
      </c>
      <c r="O99" s="41">
        <f>SUM('Dic 25'!F100)</f>
        <v>7.9969999999999999</v>
      </c>
    </row>
    <row r="100" spans="2:15" x14ac:dyDescent="0.45">
      <c r="B100" s="46" t="s">
        <v>7</v>
      </c>
      <c r="C100" s="46">
        <v>503</v>
      </c>
      <c r="D100" s="41">
        <f>'Ene 25'!F101</f>
        <v>20.106999999999999</v>
      </c>
      <c r="E100" s="41">
        <f>'Feb 25'!F101</f>
        <v>22.955000000000002</v>
      </c>
      <c r="F100" s="41">
        <f>SUM('Mar 25'!F101)</f>
        <v>18.330000000000002</v>
      </c>
      <c r="G100" s="41">
        <f>SUM('Abr 25'!F101)</f>
        <v>23.972999999999999</v>
      </c>
      <c r="H100" s="41">
        <f>SUM('May 25'!F101)</f>
        <v>19.148</v>
      </c>
      <c r="I100" s="41">
        <f>SUM('Jun 25'!F101)</f>
        <v>21.567</v>
      </c>
      <c r="J100" s="41">
        <f>SUM('Jul 25'!F101)</f>
        <v>20.405000000000001</v>
      </c>
      <c r="K100" s="41">
        <f>SUM('Ago 25'!F101)</f>
        <v>17.279</v>
      </c>
      <c r="L100" s="41">
        <f>SUM('Sep 25'!F101)</f>
        <v>18.227</v>
      </c>
      <c r="M100" s="41">
        <f>SUM('Oct 25'!F101)</f>
        <v>18.227</v>
      </c>
      <c r="N100" s="41">
        <f>SUM('Nov 25'!F101)</f>
        <v>20.236000000000001</v>
      </c>
      <c r="O100" s="41">
        <f>SUM('Dic 25'!F101)</f>
        <v>23.574999999999999</v>
      </c>
    </row>
    <row r="101" spans="2:15" x14ac:dyDescent="0.45">
      <c r="B101" s="46" t="s">
        <v>7</v>
      </c>
      <c r="C101" s="46">
        <v>504</v>
      </c>
      <c r="D101" s="41">
        <f>'Ene 25'!F102</f>
        <v>23.713000000000001</v>
      </c>
      <c r="E101" s="41">
        <f>'Feb 25'!F102</f>
        <v>25.278000000000002</v>
      </c>
      <c r="F101" s="41">
        <f>SUM('Mar 25'!F102)</f>
        <v>24.332000000000001</v>
      </c>
      <c r="G101" s="41">
        <f>SUM('Abr 25'!F102)</f>
        <v>24.594999999999999</v>
      </c>
      <c r="H101" s="41">
        <f>SUM('May 25'!F102)</f>
        <v>22.553000000000001</v>
      </c>
      <c r="I101" s="41">
        <f>SUM('Jun 25'!F102)</f>
        <v>18.975999999999999</v>
      </c>
      <c r="J101" s="41">
        <f>SUM('Jul 25'!F102)</f>
        <v>19.115000000000002</v>
      </c>
      <c r="K101" s="41">
        <f>SUM('Ago 25'!F102)</f>
        <v>17.054000000000002</v>
      </c>
      <c r="L101" s="41">
        <f>SUM('Sep 25'!F102)</f>
        <v>20.597999999999999</v>
      </c>
      <c r="M101" s="41">
        <f>SUM('Oct 25'!F102)</f>
        <v>20.597999999999999</v>
      </c>
      <c r="N101" s="41">
        <f>SUM('Nov 25'!F102)</f>
        <v>22.721</v>
      </c>
      <c r="O101" s="41">
        <f>SUM('Dic 25'!F102)</f>
        <v>21.603000000000002</v>
      </c>
    </row>
    <row r="102" spans="2:15" x14ac:dyDescent="0.45">
      <c r="B102" s="46" t="s">
        <v>8</v>
      </c>
      <c r="C102" s="46">
        <v>101</v>
      </c>
      <c r="D102" s="41">
        <f>'Ene 25'!F103</f>
        <v>26.248999999999999</v>
      </c>
      <c r="E102" s="41">
        <f>'Feb 25'!F103</f>
        <v>29.95</v>
      </c>
      <c r="F102" s="41">
        <f>SUM('Mar 25'!F103)</f>
        <v>27.115000000000002</v>
      </c>
      <c r="G102" s="41">
        <f>SUM('Abr 25'!F103)</f>
        <v>31.103000000000002</v>
      </c>
      <c r="H102" s="41">
        <f>SUM('May 25'!F103)</f>
        <v>29.006</v>
      </c>
      <c r="I102" s="41">
        <f>SUM('Jun 25'!F103)</f>
        <v>33.139000000000003</v>
      </c>
      <c r="J102" s="41">
        <f>SUM('Jul 25'!F103)</f>
        <v>31.060000000000002</v>
      </c>
      <c r="K102" s="41">
        <f>SUM('Ago 25'!F103)</f>
        <v>32.783000000000001</v>
      </c>
      <c r="L102" s="41">
        <f>SUM('Sep 25'!F103)</f>
        <v>28.512</v>
      </c>
      <c r="M102" s="41">
        <f>SUM('Oct 25'!F103)</f>
        <v>28.512</v>
      </c>
      <c r="N102" s="41">
        <f>SUM('Nov 25'!F103)</f>
        <v>28.997</v>
      </c>
      <c r="O102" s="41">
        <f>SUM('Dic 25'!F103)</f>
        <v>34.137</v>
      </c>
    </row>
    <row r="103" spans="2:15" x14ac:dyDescent="0.45">
      <c r="B103" s="46" t="s">
        <v>8</v>
      </c>
      <c r="C103" s="46">
        <v>102</v>
      </c>
      <c r="D103" s="41">
        <f>'Ene 25'!F104</f>
        <v>23.41</v>
      </c>
      <c r="E103" s="41">
        <f>'Feb 25'!F104</f>
        <v>28.96</v>
      </c>
      <c r="F103" s="41">
        <f>SUM('Mar 25'!F104)</f>
        <v>22.64</v>
      </c>
      <c r="G103" s="41">
        <f>SUM('Abr 25'!F104)</f>
        <v>27.51</v>
      </c>
      <c r="H103" s="41">
        <f>SUM('May 25'!F104)</f>
        <v>27.66</v>
      </c>
      <c r="I103" s="41">
        <f>SUM('Jun 25'!F104)</f>
        <v>28.03</v>
      </c>
      <c r="J103" s="41">
        <f>SUM('Jul 25'!F104)</f>
        <v>28.21</v>
      </c>
      <c r="K103" s="41">
        <f>SUM('Ago 25'!F104)</f>
        <v>25.21</v>
      </c>
      <c r="L103" s="41">
        <f>SUM('Sep 25'!F104)</f>
        <v>24.080000000000002</v>
      </c>
      <c r="M103" s="41">
        <f>SUM('Oct 25'!F104)</f>
        <v>24.080000000000002</v>
      </c>
      <c r="N103" s="41">
        <f>SUM('Nov 25'!F104)</f>
        <v>26.68</v>
      </c>
      <c r="O103" s="41">
        <f>SUM('Dic 25'!F104)</f>
        <v>29.86</v>
      </c>
    </row>
    <row r="104" spans="2:15" x14ac:dyDescent="0.45">
      <c r="B104" s="46" t="s">
        <v>8</v>
      </c>
      <c r="C104" s="46">
        <v>103</v>
      </c>
      <c r="D104" s="41">
        <f>'Ene 25'!F105</f>
        <v>13.289</v>
      </c>
      <c r="E104" s="41">
        <f>'Feb 25'!F105</f>
        <v>10.342000000000001</v>
      </c>
      <c r="F104" s="41">
        <f>SUM('Mar 25'!F105)</f>
        <v>3.3010000000000002</v>
      </c>
      <c r="G104" s="41">
        <f>SUM('Abr 25'!F105)</f>
        <v>31.637</v>
      </c>
      <c r="H104" s="41">
        <f>SUM('May 25'!F105)</f>
        <v>17.631</v>
      </c>
      <c r="I104" s="41">
        <f>SUM('Jun 25'!F105)</f>
        <v>14.081</v>
      </c>
      <c r="J104" s="41">
        <f>SUM('Jul 25'!F105)</f>
        <v>14.304</v>
      </c>
      <c r="K104" s="41">
        <f>SUM('Ago 25'!F105)</f>
        <v>16.083000000000002</v>
      </c>
      <c r="L104" s="41">
        <f>SUM('Sep 25'!F105)</f>
        <v>18.190000000000001</v>
      </c>
      <c r="M104" s="41">
        <f>SUM('Oct 25'!F105)</f>
        <v>18.190000000000001</v>
      </c>
      <c r="N104" s="41">
        <f>SUM('Nov 25'!F105)</f>
        <v>18.295000000000002</v>
      </c>
      <c r="O104" s="41">
        <f>SUM('Dic 25'!F105)</f>
        <v>22.489000000000001</v>
      </c>
    </row>
    <row r="105" spans="2:15" x14ac:dyDescent="0.45">
      <c r="B105" s="46" t="s">
        <v>8</v>
      </c>
      <c r="C105" s="46">
        <v>104</v>
      </c>
      <c r="D105" s="41">
        <f>'Ene 25'!F106</f>
        <v>0.45700000000000002</v>
      </c>
      <c r="E105" s="41">
        <f>'Feb 25'!F106</f>
        <v>0</v>
      </c>
      <c r="F105" s="41">
        <f>SUM('Mar 25'!F106)</f>
        <v>2.4910000000000001</v>
      </c>
      <c r="G105" s="41">
        <f>SUM('Abr 25'!F106)</f>
        <v>0.94600000000000006</v>
      </c>
      <c r="H105" s="41">
        <f>SUM('May 25'!F106)</f>
        <v>0.72299999999999998</v>
      </c>
      <c r="I105" s="41">
        <f>SUM('Jun 25'!F106)</f>
        <v>0.22600000000000001</v>
      </c>
      <c r="J105" s="41">
        <f>SUM('Jul 25'!F106)</f>
        <v>0.50900000000000001</v>
      </c>
      <c r="K105" s="41">
        <f>SUM('Ago 25'!F106)</f>
        <v>0.156</v>
      </c>
      <c r="L105" s="41">
        <f>SUM('Sep 25'!F106)</f>
        <v>4.3999999999999997E-2</v>
      </c>
      <c r="M105" s="41">
        <f>SUM('Oct 25'!F106)</f>
        <v>4.3999999999999997E-2</v>
      </c>
      <c r="N105" s="41">
        <f>SUM('Nov 25'!F106)</f>
        <v>2.016</v>
      </c>
      <c r="O105" s="41">
        <f>SUM('Dic 25'!F106)</f>
        <v>16.73</v>
      </c>
    </row>
    <row r="106" spans="2:15" x14ac:dyDescent="0.45">
      <c r="B106" s="46" t="s">
        <v>8</v>
      </c>
      <c r="C106" s="46">
        <v>201</v>
      </c>
      <c r="D106" s="41">
        <f>'Ene 25'!F107</f>
        <v>2</v>
      </c>
      <c r="E106" s="41">
        <f>'Feb 25'!F107</f>
        <v>10</v>
      </c>
      <c r="F106" s="41">
        <f>SUM('Mar 25'!F107)</f>
        <v>8</v>
      </c>
      <c r="G106" s="41">
        <f>SUM('Abr 25'!F107)</f>
        <v>0</v>
      </c>
      <c r="H106" s="41">
        <f>SUM('May 25'!F107)</f>
        <v>9.9990000000000006</v>
      </c>
      <c r="I106" s="41">
        <f>SUM('Jun 25'!F107)</f>
        <v>0</v>
      </c>
      <c r="J106" s="41">
        <f>SUM('Jul 25'!F107)</f>
        <v>0.88900000000000001</v>
      </c>
      <c r="K106" s="41">
        <f>SUM('Ago 25'!F107)</f>
        <v>0</v>
      </c>
      <c r="L106" s="41">
        <f>SUM('Sep 25'!F107)</f>
        <v>0</v>
      </c>
      <c r="M106" s="41">
        <f>SUM('Oct 25'!F107)</f>
        <v>0</v>
      </c>
      <c r="N106" s="41">
        <f>SUM('Nov 25'!F107)</f>
        <v>0</v>
      </c>
      <c r="O106" s="41">
        <f>SUM('Dic 25'!F107)</f>
        <v>2</v>
      </c>
    </row>
    <row r="107" spans="2:15" x14ac:dyDescent="0.45">
      <c r="B107" s="46" t="s">
        <v>8</v>
      </c>
      <c r="C107" s="46">
        <v>202</v>
      </c>
      <c r="D107" s="41">
        <f>'Ene 25'!F108</f>
        <v>22.161000000000001</v>
      </c>
      <c r="E107" s="41">
        <f>'Feb 25'!F108</f>
        <v>22.291</v>
      </c>
      <c r="F107" s="41">
        <f>SUM('Mar 25'!F108)</f>
        <v>21.708000000000002</v>
      </c>
      <c r="G107" s="41">
        <f>SUM('Abr 25'!F108)</f>
        <v>23.581</v>
      </c>
      <c r="H107" s="41">
        <f>SUM('May 25'!F108)</f>
        <v>20.548000000000002</v>
      </c>
      <c r="I107" s="41">
        <f>SUM('Jun 25'!F108)</f>
        <v>20.420000000000002</v>
      </c>
      <c r="J107" s="41">
        <f>SUM('Jul 25'!F108)</f>
        <v>18.739000000000001</v>
      </c>
      <c r="K107" s="41">
        <f>SUM('Ago 25'!F108)</f>
        <v>19.228999999999999</v>
      </c>
      <c r="L107" s="41">
        <f>SUM('Sep 25'!F108)</f>
        <v>19.056000000000001</v>
      </c>
      <c r="M107" s="41">
        <f>SUM('Oct 25'!F108)</f>
        <v>19.056000000000001</v>
      </c>
      <c r="N107" s="41">
        <f>SUM('Nov 25'!F108)</f>
        <v>19.760999999999999</v>
      </c>
      <c r="O107" s="41">
        <f>SUM('Dic 25'!F108)</f>
        <v>19.650000000000002</v>
      </c>
    </row>
    <row r="108" spans="2:15" x14ac:dyDescent="0.45">
      <c r="B108" s="46" t="s">
        <v>8</v>
      </c>
      <c r="C108" s="46">
        <v>203</v>
      </c>
      <c r="D108" s="41">
        <f>'Ene 25'!F109</f>
        <v>3.9570000000000003</v>
      </c>
      <c r="E108" s="41">
        <f>'Feb 25'!F109</f>
        <v>11.249000000000001</v>
      </c>
      <c r="F108" s="41">
        <f>SUM('Mar 25'!F109)</f>
        <v>9.9689999999999994</v>
      </c>
      <c r="G108" s="41">
        <f>SUM('Abr 25'!F109)</f>
        <v>10.172000000000001</v>
      </c>
      <c r="H108" s="41">
        <f>SUM('May 25'!F109)</f>
        <v>9.3840000000000003</v>
      </c>
      <c r="I108" s="41">
        <f>SUM('Jun 25'!F109)</f>
        <v>10.548</v>
      </c>
      <c r="J108" s="41">
        <f>SUM('Jul 25'!F109)</f>
        <v>10.492000000000001</v>
      </c>
      <c r="K108" s="41">
        <f>SUM('Ago 25'!F109)</f>
        <v>9.5660000000000007</v>
      </c>
      <c r="L108" s="41">
        <f>SUM('Sep 25'!F109)</f>
        <v>10.394</v>
      </c>
      <c r="M108" s="41">
        <f>SUM('Oct 25'!F109)</f>
        <v>10.394</v>
      </c>
      <c r="N108" s="41">
        <f>SUM('Nov 25'!F109)</f>
        <v>4.4779999999999998</v>
      </c>
      <c r="O108" s="41">
        <f>SUM('Dic 25'!F109)</f>
        <v>6.3940000000000001</v>
      </c>
    </row>
    <row r="109" spans="2:15" x14ac:dyDescent="0.45">
      <c r="B109" s="46" t="s">
        <v>8</v>
      </c>
      <c r="C109" s="46">
        <v>204</v>
      </c>
      <c r="D109" s="41">
        <f>'Ene 25'!F110</f>
        <v>13.407999999999999</v>
      </c>
      <c r="E109" s="41">
        <f>'Feb 25'!F110</f>
        <v>23.920999999999999</v>
      </c>
      <c r="F109" s="41">
        <f>SUM('Mar 25'!F110)</f>
        <v>20.757999999999999</v>
      </c>
      <c r="G109" s="41">
        <f>SUM('Abr 25'!F110)</f>
        <v>24.035</v>
      </c>
      <c r="H109" s="41">
        <f>SUM('May 25'!F110)</f>
        <v>14.563000000000001</v>
      </c>
      <c r="I109" s="41">
        <f>SUM('Jun 25'!F110)</f>
        <v>12.292</v>
      </c>
      <c r="J109" s="41">
        <f>SUM('Jul 25'!F110)</f>
        <v>15.32</v>
      </c>
      <c r="K109" s="41">
        <f>SUM('Ago 25'!F110)</f>
        <v>11.788</v>
      </c>
      <c r="L109" s="41">
        <f>SUM('Sep 25'!F110)</f>
        <v>13.236000000000001</v>
      </c>
      <c r="M109" s="41">
        <f>SUM('Oct 25'!F110)</f>
        <v>13.236000000000001</v>
      </c>
      <c r="N109" s="41">
        <f>SUM('Nov 25'!F110)</f>
        <v>22.818000000000001</v>
      </c>
      <c r="O109" s="41">
        <f>SUM('Dic 25'!F110)</f>
        <v>19.594000000000001</v>
      </c>
    </row>
    <row r="110" spans="2:15" x14ac:dyDescent="0.45">
      <c r="B110" s="46" t="s">
        <v>8</v>
      </c>
      <c r="C110" s="46">
        <v>301</v>
      </c>
      <c r="D110" s="41">
        <f>'Ene 25'!F111</f>
        <v>15.25</v>
      </c>
      <c r="E110" s="41">
        <f>'Feb 25'!F111</f>
        <v>12.780000000000001</v>
      </c>
      <c r="F110" s="41">
        <f>SUM('Mar 25'!F111)</f>
        <v>10.68</v>
      </c>
      <c r="G110" s="41">
        <f>SUM('Abr 25'!F111)</f>
        <v>11.786</v>
      </c>
      <c r="H110" s="41">
        <f>SUM('May 25'!F111)</f>
        <v>13.425000000000001</v>
      </c>
      <c r="I110" s="41">
        <f>SUM('Jun 25'!F111)</f>
        <v>10.925000000000001</v>
      </c>
      <c r="J110" s="41">
        <f>SUM('Jul 25'!F111)</f>
        <v>8.1319999999999997</v>
      </c>
      <c r="K110" s="41">
        <f>SUM('Ago 25'!F111)</f>
        <v>13.756</v>
      </c>
      <c r="L110" s="41">
        <f>SUM('Sep 25'!F111)</f>
        <v>12.905000000000001</v>
      </c>
      <c r="M110" s="41">
        <f>SUM('Oct 25'!F111)</f>
        <v>12.905000000000001</v>
      </c>
      <c r="N110" s="41">
        <f>SUM('Nov 25'!F111)</f>
        <v>16.666</v>
      </c>
      <c r="O110" s="41">
        <f>SUM('Dic 25'!F111)</f>
        <v>11.555</v>
      </c>
    </row>
    <row r="111" spans="2:15" x14ac:dyDescent="0.45">
      <c r="B111" s="46" t="s">
        <v>8</v>
      </c>
      <c r="C111" s="46">
        <v>302</v>
      </c>
      <c r="D111" s="41">
        <f>'Ene 25'!F112</f>
        <v>11.602</v>
      </c>
      <c r="E111" s="41">
        <f>'Feb 25'!F112</f>
        <v>9.6910000000000007</v>
      </c>
      <c r="F111" s="41">
        <f>SUM('Mar 25'!F112)</f>
        <v>7.9080000000000004</v>
      </c>
      <c r="G111" s="41">
        <f>SUM('Abr 25'!F112)</f>
        <v>8.99</v>
      </c>
      <c r="H111" s="41">
        <f>SUM('May 25'!F112)</f>
        <v>7.7389999999999999</v>
      </c>
      <c r="I111" s="41">
        <f>SUM('Jun 25'!F112)</f>
        <v>8.5229999999999997</v>
      </c>
      <c r="J111" s="41">
        <f>SUM('Jul 25'!F112)</f>
        <v>8.2409999999999997</v>
      </c>
      <c r="K111" s="41">
        <f>SUM('Ago 25'!F112)</f>
        <v>8.4079999999999995</v>
      </c>
      <c r="L111" s="41">
        <f>SUM('Sep 25'!F112)</f>
        <v>8.0289999999999999</v>
      </c>
      <c r="M111" s="41">
        <f>SUM('Oct 25'!F112)</f>
        <v>8.0289999999999999</v>
      </c>
      <c r="N111" s="41">
        <f>SUM('Nov 25'!F112)</f>
        <v>9.0969999999999995</v>
      </c>
      <c r="O111" s="41">
        <f>SUM('Dic 25'!F112)</f>
        <v>10.163</v>
      </c>
    </row>
    <row r="112" spans="2:15" x14ac:dyDescent="0.45">
      <c r="B112" s="46" t="s">
        <v>8</v>
      </c>
      <c r="C112" s="46">
        <v>303</v>
      </c>
      <c r="D112" s="41">
        <f>'Ene 25'!F113</f>
        <v>25.632000000000001</v>
      </c>
      <c r="E112" s="41">
        <f>'Feb 25'!F113</f>
        <v>26.922000000000001</v>
      </c>
      <c r="F112" s="41">
        <f>SUM('Mar 25'!F113)</f>
        <v>27.062999999999999</v>
      </c>
      <c r="G112" s="41">
        <f>SUM('Abr 25'!F113)</f>
        <v>27.757000000000001</v>
      </c>
      <c r="H112" s="41">
        <f>SUM('May 25'!F113)</f>
        <v>19.734000000000002</v>
      </c>
      <c r="I112" s="41">
        <f>SUM('Jun 25'!F113)</f>
        <v>29.608000000000001</v>
      </c>
      <c r="J112" s="41">
        <f>SUM('Jul 25'!F113)</f>
        <v>32.006999999999998</v>
      </c>
      <c r="K112" s="41">
        <f>SUM('Ago 25'!F113)</f>
        <v>31.560000000000002</v>
      </c>
      <c r="L112" s="41">
        <f>SUM('Sep 25'!F113)</f>
        <v>37.521000000000001</v>
      </c>
      <c r="M112" s="41">
        <f>SUM('Oct 25'!F113)</f>
        <v>37.521000000000001</v>
      </c>
      <c r="N112" s="41">
        <f>SUM('Nov 25'!F113)</f>
        <v>6.2889999999999997</v>
      </c>
      <c r="O112" s="41">
        <f>SUM('Dic 25'!F113)</f>
        <v>34.984999999999999</v>
      </c>
    </row>
    <row r="113" spans="2:15" x14ac:dyDescent="0.45">
      <c r="B113" s="46" t="s">
        <v>8</v>
      </c>
      <c r="C113" s="46">
        <v>304</v>
      </c>
      <c r="D113" s="41">
        <f>'Ene 25'!F114</f>
        <v>11.592000000000001</v>
      </c>
      <c r="E113" s="41">
        <f>'Feb 25'!F114</f>
        <v>11.835000000000001</v>
      </c>
      <c r="F113" s="41">
        <f>SUM('Mar 25'!F114)</f>
        <v>13.248000000000001</v>
      </c>
      <c r="G113" s="41">
        <f>SUM('Abr 25'!F114)</f>
        <v>9.3919999999999995</v>
      </c>
      <c r="H113" s="41">
        <f>SUM('May 25'!F114)</f>
        <v>10.59</v>
      </c>
      <c r="I113" s="41">
        <f>SUM('Jun 25'!F114)</f>
        <v>8.6010000000000009</v>
      </c>
      <c r="J113" s="41">
        <f>SUM('Jul 25'!F114)</f>
        <v>11.072000000000001</v>
      </c>
      <c r="K113" s="41">
        <f>SUM('Ago 25'!F114)</f>
        <v>10.838000000000001</v>
      </c>
      <c r="L113" s="41">
        <f>SUM('Sep 25'!F114)</f>
        <v>17.97</v>
      </c>
      <c r="M113" s="41">
        <f>SUM('Oct 25'!F114)</f>
        <v>17.97</v>
      </c>
      <c r="N113" s="41">
        <f>SUM('Nov 25'!F114)</f>
        <v>11.192</v>
      </c>
      <c r="O113" s="41">
        <f>SUM('Dic 25'!F114)</f>
        <v>11.06</v>
      </c>
    </row>
    <row r="114" spans="2:15" x14ac:dyDescent="0.45">
      <c r="B114" s="46" t="s">
        <v>8</v>
      </c>
      <c r="C114" s="46">
        <v>401</v>
      </c>
      <c r="D114" s="41">
        <f>'Ene 25'!F115</f>
        <v>14.200000000000001</v>
      </c>
      <c r="E114" s="41">
        <f>'Feb 25'!F115</f>
        <v>13.056000000000001</v>
      </c>
      <c r="F114" s="41">
        <f>SUM('Mar 25'!F115)</f>
        <v>13.012</v>
      </c>
      <c r="G114" s="41">
        <f>SUM('Abr 25'!F115)</f>
        <v>13.852</v>
      </c>
      <c r="H114" s="41">
        <f>SUM('May 25'!F115)</f>
        <v>11.173</v>
      </c>
      <c r="I114" s="41">
        <f>SUM('Jun 25'!F115)</f>
        <v>12.643000000000001</v>
      </c>
      <c r="J114" s="41">
        <f>SUM('Jul 25'!F115)</f>
        <v>14.171000000000001</v>
      </c>
      <c r="K114" s="41">
        <f>SUM('Ago 25'!F115)</f>
        <v>10.784000000000001</v>
      </c>
      <c r="L114" s="41">
        <f>SUM('Sep 25'!F115)</f>
        <v>14.896000000000001</v>
      </c>
      <c r="M114" s="41">
        <f>SUM('Oct 25'!F115)</f>
        <v>14.896000000000001</v>
      </c>
      <c r="N114" s="41">
        <f>SUM('Nov 25'!F115)</f>
        <v>13.562000000000001</v>
      </c>
      <c r="O114" s="41">
        <f>SUM('Dic 25'!F115)</f>
        <v>15.016</v>
      </c>
    </row>
    <row r="115" spans="2:15" x14ac:dyDescent="0.45">
      <c r="B115" s="46" t="s">
        <v>8</v>
      </c>
      <c r="C115" s="46">
        <v>402</v>
      </c>
      <c r="D115" s="41">
        <f>'Ene 25'!F116</f>
        <v>2.222</v>
      </c>
      <c r="E115" s="41">
        <f>'Feb 25'!F116</f>
        <v>0.505</v>
      </c>
      <c r="F115" s="41">
        <f>SUM('Mar 25'!F116)</f>
        <v>1.0680000000000001</v>
      </c>
      <c r="G115" s="41">
        <f>SUM('Abr 25'!F116)</f>
        <v>0.39200000000000002</v>
      </c>
      <c r="H115" s="41">
        <f>SUM('May 25'!F116)</f>
        <v>1.3940000000000001</v>
      </c>
      <c r="I115" s="41">
        <f>SUM('Jun 25'!F116)</f>
        <v>0.47200000000000003</v>
      </c>
      <c r="J115" s="41">
        <f>SUM('Jul 25'!F116)</f>
        <v>0.76500000000000001</v>
      </c>
      <c r="K115" s="41">
        <f>SUM('Ago 25'!F116)</f>
        <v>6.0000000000000001E-3</v>
      </c>
      <c r="L115" s="41">
        <f>SUM('Sep 25'!F116)</f>
        <v>0.30599999999999999</v>
      </c>
      <c r="M115" s="41">
        <f>SUM('Oct 25'!F116)</f>
        <v>0.30599999999999999</v>
      </c>
      <c r="N115" s="41">
        <f>SUM('Nov 25'!F116)</f>
        <v>0.45700000000000002</v>
      </c>
      <c r="O115" s="41">
        <f>SUM('Dic 25'!F116)</f>
        <v>4.3600000000000003</v>
      </c>
    </row>
    <row r="116" spans="2:15" x14ac:dyDescent="0.45">
      <c r="B116" s="46" t="s">
        <v>8</v>
      </c>
      <c r="C116" s="46">
        <v>403</v>
      </c>
      <c r="D116" s="41">
        <f>'Ene 25'!F117</f>
        <v>1.6930000000000001</v>
      </c>
      <c r="E116" s="41">
        <f>'Feb 25'!F117</f>
        <v>0.93700000000000006</v>
      </c>
      <c r="F116" s="41">
        <f>SUM('Mar 25'!F117)</f>
        <v>3.1880000000000002</v>
      </c>
      <c r="G116" s="41">
        <f>SUM('Abr 25'!F117)</f>
        <v>1.3900000000000001</v>
      </c>
      <c r="H116" s="41">
        <f>SUM('May 25'!F117)</f>
        <v>0.46600000000000003</v>
      </c>
      <c r="I116" s="41">
        <f>SUM('Jun 25'!F117)</f>
        <v>0.75</v>
      </c>
      <c r="J116" s="41">
        <f>SUM('Jul 25'!F117)</f>
        <v>0.57300000000000006</v>
      </c>
      <c r="K116" s="41">
        <f>SUM('Ago 25'!F117)</f>
        <v>0.40300000000000002</v>
      </c>
      <c r="L116" s="41">
        <f>SUM('Sep 25'!F117)</f>
        <v>1.6759999999999999</v>
      </c>
      <c r="M116" s="41">
        <f>SUM('Oct 25'!F117)</f>
        <v>1.6759999999999999</v>
      </c>
      <c r="N116" s="41">
        <f>SUM('Nov 25'!F117)</f>
        <v>0.69500000000000006</v>
      </c>
      <c r="O116" s="41">
        <f>SUM('Dic 25'!F117)</f>
        <v>5.34</v>
      </c>
    </row>
    <row r="117" spans="2:15" x14ac:dyDescent="0.45">
      <c r="B117" s="46" t="s">
        <v>8</v>
      </c>
      <c r="C117" s="46">
        <v>404</v>
      </c>
      <c r="D117" s="41">
        <f>'Ene 25'!F118</f>
        <v>5.3959999999999999</v>
      </c>
      <c r="E117" s="41">
        <f>'Feb 25'!F118</f>
        <v>1.2889999999999999</v>
      </c>
      <c r="F117" s="41">
        <f>SUM('Mar 25'!F118)</f>
        <v>12.093999999999999</v>
      </c>
      <c r="G117" s="41">
        <f>SUM('Abr 25'!F118)</f>
        <v>15.486000000000001</v>
      </c>
      <c r="H117" s="41">
        <f>SUM('May 25'!F118)</f>
        <v>14.685</v>
      </c>
      <c r="I117" s="41">
        <f>SUM('Jun 25'!F118)</f>
        <v>15.264000000000001</v>
      </c>
      <c r="J117" s="41">
        <f>SUM('Jul 25'!F118)</f>
        <v>21.218</v>
      </c>
      <c r="K117" s="41">
        <f>SUM('Ago 25'!F118)</f>
        <v>19.466000000000001</v>
      </c>
      <c r="L117" s="41">
        <f>SUM('Sep 25'!F118)</f>
        <v>14.018000000000001</v>
      </c>
      <c r="M117" s="41">
        <f>SUM('Oct 25'!F118)</f>
        <v>14.018000000000001</v>
      </c>
      <c r="N117" s="41">
        <f>SUM('Nov 25'!F118)</f>
        <v>18.887</v>
      </c>
      <c r="O117" s="41">
        <f>SUM('Dic 25'!F118)</f>
        <v>19.894000000000002</v>
      </c>
    </row>
    <row r="118" spans="2:15" x14ac:dyDescent="0.45">
      <c r="B118" s="46" t="s">
        <v>8</v>
      </c>
      <c r="C118" s="46">
        <v>501</v>
      </c>
      <c r="D118" s="41">
        <f>'Ene 25'!F119</f>
        <v>18.902000000000001</v>
      </c>
      <c r="E118" s="41">
        <f>'Feb 25'!F119</f>
        <v>18.789000000000001</v>
      </c>
      <c r="F118" s="41">
        <f>SUM('Mar 25'!F119)</f>
        <v>15.152000000000001</v>
      </c>
      <c r="G118" s="41">
        <f>SUM('Abr 25'!F119)</f>
        <v>19.879000000000001</v>
      </c>
      <c r="H118" s="41">
        <f>SUM('May 25'!F119)</f>
        <v>16.219000000000001</v>
      </c>
      <c r="I118" s="41">
        <f>SUM('Jun 25'!F119)</f>
        <v>16.361000000000001</v>
      </c>
      <c r="J118" s="41">
        <f>SUM('Jul 25'!F119)</f>
        <v>39.231000000000002</v>
      </c>
      <c r="K118" s="41">
        <f>SUM('Ago 25'!F119)</f>
        <v>24.565000000000001</v>
      </c>
      <c r="L118" s="41">
        <f>SUM('Sep 25'!F119)</f>
        <v>28.675000000000001</v>
      </c>
      <c r="M118" s="41">
        <f>SUM('Oct 25'!F119)</f>
        <v>28.675000000000001</v>
      </c>
      <c r="N118" s="41">
        <f>SUM('Nov 25'!F119)</f>
        <v>19.644000000000002</v>
      </c>
      <c r="O118" s="41">
        <f>SUM('Dic 25'!F119)</f>
        <v>24.603999999999999</v>
      </c>
    </row>
    <row r="119" spans="2:15" x14ac:dyDescent="0.45">
      <c r="B119" s="46" t="s">
        <v>8</v>
      </c>
      <c r="C119" s="46">
        <v>502</v>
      </c>
      <c r="D119" s="41">
        <f>'Ene 25'!F120</f>
        <v>42.286999999999999</v>
      </c>
      <c r="E119" s="41">
        <f>'Feb 25'!F120</f>
        <v>38.343000000000004</v>
      </c>
      <c r="F119" s="41">
        <f>SUM('Mar 25'!F120)</f>
        <v>41.346000000000004</v>
      </c>
      <c r="G119" s="41">
        <f>SUM('Abr 25'!F120)</f>
        <v>42.575000000000003</v>
      </c>
      <c r="H119" s="41">
        <f>SUM('May 25'!F120)</f>
        <v>38.177</v>
      </c>
      <c r="I119" s="41">
        <f>SUM('Jun 25'!F120)</f>
        <v>41.472999999999999</v>
      </c>
      <c r="J119" s="41">
        <f>SUM('Jul 25'!F120)</f>
        <v>39.109000000000002</v>
      </c>
      <c r="K119" s="41">
        <f>SUM('Ago 25'!F120)</f>
        <v>39.353000000000002</v>
      </c>
      <c r="L119" s="41">
        <f>SUM('Sep 25'!F120)</f>
        <v>36.792000000000002</v>
      </c>
      <c r="M119" s="41">
        <f>SUM('Oct 25'!F120)</f>
        <v>36.792000000000002</v>
      </c>
      <c r="N119" s="41">
        <f>SUM('Nov 25'!F120)</f>
        <v>41.438000000000002</v>
      </c>
      <c r="O119" s="41">
        <f>SUM('Dic 25'!F120)</f>
        <v>38.402000000000001</v>
      </c>
    </row>
    <row r="120" spans="2:15" x14ac:dyDescent="0.45">
      <c r="B120" s="46" t="s">
        <v>8</v>
      </c>
      <c r="C120" s="46">
        <v>503</v>
      </c>
      <c r="D120" s="41">
        <f>'Ene 25'!F121</f>
        <v>12.792</v>
      </c>
      <c r="E120" s="41">
        <f>'Feb 25'!F121</f>
        <v>15.721</v>
      </c>
      <c r="F120" s="41">
        <f>SUM('Mar 25'!F121)</f>
        <v>14.769</v>
      </c>
      <c r="G120" s="41">
        <f>SUM('Abr 25'!F121)</f>
        <v>10.414</v>
      </c>
      <c r="H120" s="41">
        <f>SUM('May 25'!F121)</f>
        <v>14.585000000000001</v>
      </c>
      <c r="I120" s="41">
        <f>SUM('Jun 25'!F121)</f>
        <v>11.811</v>
      </c>
      <c r="J120" s="41">
        <f>SUM('Jul 25'!F121)</f>
        <v>10.9</v>
      </c>
      <c r="K120" s="41">
        <f>SUM('Ago 25'!F121)</f>
        <v>14.983000000000001</v>
      </c>
      <c r="L120" s="41">
        <f>SUM('Sep 25'!F121)</f>
        <v>17.32</v>
      </c>
      <c r="M120" s="41">
        <f>SUM('Oct 25'!F121)</f>
        <v>17.32</v>
      </c>
      <c r="N120" s="41">
        <f>SUM('Nov 25'!F121)</f>
        <v>3.3519999999999999</v>
      </c>
      <c r="O120" s="41">
        <f>SUM('Dic 25'!F121)</f>
        <v>13.306000000000001</v>
      </c>
    </row>
    <row r="121" spans="2:15" x14ac:dyDescent="0.45">
      <c r="B121" s="46" t="s">
        <v>8</v>
      </c>
      <c r="C121" s="46">
        <v>504</v>
      </c>
      <c r="D121" s="41">
        <f>'Ene 25'!F122</f>
        <v>33.063000000000002</v>
      </c>
      <c r="E121" s="41">
        <f>'Feb 25'!F122</f>
        <v>41.003</v>
      </c>
      <c r="F121" s="41">
        <f>SUM('Mar 25'!F122)</f>
        <v>32.487000000000002</v>
      </c>
      <c r="G121" s="41">
        <f>SUM('Abr 25'!F122)</f>
        <v>27.725999999999999</v>
      </c>
      <c r="H121" s="41">
        <f>SUM('May 25'!F122)</f>
        <v>32.572000000000003</v>
      </c>
      <c r="I121" s="41">
        <f>SUM('Jun 25'!F122)</f>
        <v>25.71</v>
      </c>
      <c r="J121" s="41">
        <f>SUM('Jul 25'!F122)</f>
        <v>27.427</v>
      </c>
      <c r="K121" s="41">
        <f>SUM('Ago 25'!F122)</f>
        <v>25.44</v>
      </c>
      <c r="L121" s="41">
        <f>SUM('Sep 25'!F122)</f>
        <v>29.885999999999999</v>
      </c>
      <c r="M121" s="41">
        <f>SUM('Oct 25'!F122)</f>
        <v>29.885999999999999</v>
      </c>
      <c r="N121" s="41">
        <f>SUM('Nov 25'!F122)</f>
        <v>24.567</v>
      </c>
      <c r="O121" s="41">
        <f>SUM('Dic 25'!F122)</f>
        <v>31.131</v>
      </c>
    </row>
    <row r="122" spans="2:15" x14ac:dyDescent="0.45">
      <c r="B122" s="46" t="s">
        <v>9</v>
      </c>
      <c r="C122" s="46">
        <v>101</v>
      </c>
      <c r="D122" s="41">
        <f>'Ene 25'!F123</f>
        <v>14.416</v>
      </c>
      <c r="E122" s="41">
        <f>'Feb 25'!F123</f>
        <v>11.998000000000001</v>
      </c>
      <c r="F122" s="41">
        <f>SUM('Mar 25'!F123)</f>
        <v>16.63</v>
      </c>
      <c r="G122" s="41">
        <f>SUM('Abr 25'!F123)</f>
        <v>19.701000000000001</v>
      </c>
      <c r="H122" s="41">
        <f>SUM('May 25'!F123)</f>
        <v>18.202000000000002</v>
      </c>
      <c r="I122" s="41">
        <f>SUM('Jun 25'!F123)</f>
        <v>22.01</v>
      </c>
      <c r="J122" s="41">
        <f>SUM('Jul 25'!F123)</f>
        <v>19.786999999999999</v>
      </c>
      <c r="K122" s="41">
        <f>SUM('Ago 25'!F123)</f>
        <v>8.168000000000001</v>
      </c>
      <c r="L122" s="41">
        <f>SUM('Sep 25'!F123)</f>
        <v>15.308</v>
      </c>
      <c r="M122" s="41">
        <f>SUM('Oct 25'!F123)</f>
        <v>15.308</v>
      </c>
      <c r="N122" s="41">
        <f>SUM('Nov 25'!F123)</f>
        <v>22.089000000000002</v>
      </c>
      <c r="O122" s="41">
        <f>SUM('Dic 25'!F123)</f>
        <v>23.030999999999999</v>
      </c>
    </row>
    <row r="123" spans="2:15" x14ac:dyDescent="0.45">
      <c r="B123" s="46" t="s">
        <v>9</v>
      </c>
      <c r="C123" s="46">
        <v>102</v>
      </c>
      <c r="D123" s="41">
        <f>'Ene 25'!F124</f>
        <v>3.33</v>
      </c>
      <c r="E123" s="41">
        <f>'Feb 25'!F124</f>
        <v>2.11</v>
      </c>
      <c r="F123" s="41">
        <f>SUM('Mar 25'!F124)</f>
        <v>2.15</v>
      </c>
      <c r="G123" s="41">
        <f>SUM('Abr 25'!F124)</f>
        <v>2.86</v>
      </c>
      <c r="H123" s="41">
        <f>SUM('May 25'!F124)</f>
        <v>6.44</v>
      </c>
      <c r="I123" s="41">
        <f>SUM('Jun 25'!F124)</f>
        <v>6.4</v>
      </c>
      <c r="J123" s="41">
        <f>SUM('Jul 25'!F124)</f>
        <v>2.5500000000000003</v>
      </c>
      <c r="K123" s="41">
        <f>SUM('Ago 25'!F124)</f>
        <v>2.39</v>
      </c>
      <c r="L123" s="41">
        <f>SUM('Sep 25'!F124)</f>
        <v>2.56</v>
      </c>
      <c r="M123" s="41">
        <f>SUM('Oct 25'!F124)</f>
        <v>2.56</v>
      </c>
      <c r="N123" s="41">
        <f>SUM('Nov 25'!F124)</f>
        <v>1.24</v>
      </c>
      <c r="O123" s="41">
        <f>SUM('Dic 25'!F124)</f>
        <v>1.8800000000000001</v>
      </c>
    </row>
    <row r="124" spans="2:15" x14ac:dyDescent="0.45">
      <c r="B124" s="46" t="s">
        <v>9</v>
      </c>
      <c r="C124" s="46">
        <v>103</v>
      </c>
      <c r="D124" s="41">
        <f>'Ene 25'!F125</f>
        <v>13.441000000000001</v>
      </c>
      <c r="E124" s="41">
        <f>'Feb 25'!F125</f>
        <v>17.161000000000001</v>
      </c>
      <c r="F124" s="41">
        <f>SUM('Mar 25'!F125)</f>
        <v>43.572000000000003</v>
      </c>
      <c r="G124" s="41">
        <f>SUM('Abr 25'!F125)</f>
        <v>30.281000000000002</v>
      </c>
      <c r="H124" s="41">
        <f>SUM('May 25'!F125)</f>
        <v>18.347000000000001</v>
      </c>
      <c r="I124" s="41">
        <f>SUM('Jun 25'!F125)</f>
        <v>34.75</v>
      </c>
      <c r="J124" s="41">
        <f>SUM('Jul 25'!F125)</f>
        <v>34.176000000000002</v>
      </c>
      <c r="K124" s="41">
        <f>SUM('Ago 25'!F125)</f>
        <v>28.405000000000001</v>
      </c>
      <c r="L124" s="41">
        <f>SUM('Sep 25'!F125)</f>
        <v>30.154</v>
      </c>
      <c r="M124" s="41">
        <f>SUM('Oct 25'!F125)</f>
        <v>30.154</v>
      </c>
      <c r="N124" s="41">
        <f>SUM('Nov 25'!F125)</f>
        <v>9.6509999999999998</v>
      </c>
      <c r="O124" s="41">
        <f>SUM('Dic 25'!F125)</f>
        <v>4.3330000000000002</v>
      </c>
    </row>
    <row r="125" spans="2:15" x14ac:dyDescent="0.45">
      <c r="B125" s="46" t="s">
        <v>9</v>
      </c>
      <c r="C125" s="46">
        <v>104</v>
      </c>
      <c r="D125" s="41">
        <f>'Ene 25'!F126</f>
        <v>0</v>
      </c>
      <c r="E125" s="41">
        <f>'Feb 25'!F126</f>
        <v>7.2999999999999995E-2</v>
      </c>
      <c r="F125" s="41">
        <f>SUM('Mar 25'!F126)</f>
        <v>1.0999999999999999E-2</v>
      </c>
      <c r="G125" s="41">
        <f>SUM('Abr 25'!F126)</f>
        <v>5.8000000000000003E-2</v>
      </c>
      <c r="H125" s="41">
        <f>SUM('May 25'!F126)</f>
        <v>2.3069999999999999</v>
      </c>
      <c r="I125" s="41">
        <f>SUM('Jun 25'!F126)</f>
        <v>8.7590000000000003</v>
      </c>
      <c r="J125" s="41">
        <f>SUM('Jul 25'!F126)</f>
        <v>11.145</v>
      </c>
      <c r="K125" s="41">
        <f>SUM('Ago 25'!F126)</f>
        <v>18.690999999999999</v>
      </c>
      <c r="L125" s="41">
        <f>SUM('Sep 25'!F126)</f>
        <v>16.836000000000002</v>
      </c>
      <c r="M125" s="41">
        <f>SUM('Oct 25'!F126)</f>
        <v>16.836000000000002</v>
      </c>
      <c r="N125" s="41">
        <f>SUM('Nov 25'!F126)</f>
        <v>16.521000000000001</v>
      </c>
      <c r="O125" s="41">
        <f>SUM('Dic 25'!F126)</f>
        <v>18.440000000000001</v>
      </c>
    </row>
    <row r="126" spans="2:15" x14ac:dyDescent="0.45">
      <c r="B126" s="46" t="s">
        <v>9</v>
      </c>
      <c r="C126" s="46">
        <v>201</v>
      </c>
      <c r="D126" s="41">
        <f>'Ene 25'!F127</f>
        <v>12.582000000000001</v>
      </c>
      <c r="E126" s="41">
        <f>'Feb 25'!F127</f>
        <v>11.611000000000001</v>
      </c>
      <c r="F126" s="41">
        <f>SUM('Mar 25'!F127)</f>
        <v>11.468999999999999</v>
      </c>
      <c r="G126" s="41">
        <f>SUM('Abr 25'!F127)</f>
        <v>12.483000000000001</v>
      </c>
      <c r="H126" s="41">
        <f>SUM('May 25'!F127)</f>
        <v>10.782999999999999</v>
      </c>
      <c r="I126" s="41">
        <f>SUM('Jun 25'!F127)</f>
        <v>15.764000000000001</v>
      </c>
      <c r="J126" s="41">
        <f>SUM('Jul 25'!F127)</f>
        <v>11.372</v>
      </c>
      <c r="K126" s="41">
        <f>SUM('Ago 25'!F127)</f>
        <v>9.0500000000000007</v>
      </c>
      <c r="L126" s="41">
        <f>SUM('Sep 25'!F127)</f>
        <v>13.14</v>
      </c>
      <c r="M126" s="41">
        <f>SUM('Oct 25'!F127)</f>
        <v>13.14</v>
      </c>
      <c r="N126" s="41">
        <f>SUM('Nov 25'!F127)</f>
        <v>13.289</v>
      </c>
      <c r="O126" s="41">
        <f>SUM('Dic 25'!F127)</f>
        <v>12.894</v>
      </c>
    </row>
    <row r="127" spans="2:15" x14ac:dyDescent="0.45">
      <c r="B127" s="46" t="s">
        <v>9</v>
      </c>
      <c r="C127" s="46">
        <v>202</v>
      </c>
      <c r="D127" s="41">
        <f>'Ene 25'!F128</f>
        <v>12.528</v>
      </c>
      <c r="E127" s="41">
        <f>'Feb 25'!F128</f>
        <v>10.979000000000001</v>
      </c>
      <c r="F127" s="41">
        <f>SUM('Mar 25'!F128)</f>
        <v>13.697000000000001</v>
      </c>
      <c r="G127" s="41">
        <f>SUM('Abr 25'!F128)</f>
        <v>15.105</v>
      </c>
      <c r="H127" s="41">
        <f>SUM('May 25'!F128)</f>
        <v>15.237</v>
      </c>
      <c r="I127" s="41">
        <f>SUM('Jun 25'!F128)</f>
        <v>16.763000000000002</v>
      </c>
      <c r="J127" s="41">
        <f>SUM('Jul 25'!F128)</f>
        <v>19.080000000000002</v>
      </c>
      <c r="K127" s="41">
        <f>SUM('Ago 25'!F128)</f>
        <v>15.413</v>
      </c>
      <c r="L127" s="41">
        <f>SUM('Sep 25'!F128)</f>
        <v>17.965</v>
      </c>
      <c r="M127" s="41">
        <f>SUM('Oct 25'!F128)</f>
        <v>17.965</v>
      </c>
      <c r="N127" s="41">
        <f>SUM('Nov 25'!F128)</f>
        <v>15.691000000000001</v>
      </c>
      <c r="O127" s="41">
        <f>SUM('Dic 25'!F128)</f>
        <v>16.454000000000001</v>
      </c>
    </row>
    <row r="128" spans="2:15" x14ac:dyDescent="0.45">
      <c r="B128" s="46" t="s">
        <v>9</v>
      </c>
      <c r="C128" s="46">
        <v>203</v>
      </c>
      <c r="D128" s="41">
        <f>'Ene 25'!F129</f>
        <v>17.305</v>
      </c>
      <c r="E128" s="41">
        <f>'Feb 25'!F129</f>
        <v>2.3359999999999999</v>
      </c>
      <c r="F128" s="41">
        <f>SUM('Mar 25'!F129)</f>
        <v>0</v>
      </c>
      <c r="G128" s="41">
        <f>SUM('Abr 25'!F129)</f>
        <v>0</v>
      </c>
      <c r="H128" s="41">
        <f>SUM('May 25'!F129)</f>
        <v>0.121</v>
      </c>
      <c r="I128" s="41">
        <f>SUM('Jun 25'!F129)</f>
        <v>0</v>
      </c>
      <c r="J128" s="41">
        <f>SUM('Jul 25'!F129)</f>
        <v>0</v>
      </c>
      <c r="K128" s="41">
        <f>SUM('Ago 25'!F129)</f>
        <v>0</v>
      </c>
      <c r="L128" s="41">
        <f>SUM('Sep 25'!F129)</f>
        <v>10.324</v>
      </c>
      <c r="M128" s="41">
        <f>SUM('Oct 25'!F129)</f>
        <v>10.324</v>
      </c>
      <c r="N128" s="41">
        <f>SUM('Nov 25'!F129)</f>
        <v>22.183</v>
      </c>
      <c r="O128" s="41">
        <f>SUM('Dic 25'!F129)</f>
        <v>16.305</v>
      </c>
    </row>
    <row r="129" spans="2:21" x14ac:dyDescent="0.45">
      <c r="B129" s="46" t="s">
        <v>9</v>
      </c>
      <c r="C129" s="46">
        <v>204</v>
      </c>
      <c r="D129" s="41">
        <f>'Ene 25'!F130</f>
        <v>8.0180000000000007</v>
      </c>
      <c r="E129" s="41">
        <f>'Feb 25'!F130</f>
        <v>8.7319999999999993</v>
      </c>
      <c r="F129" s="41">
        <f>SUM('Mar 25'!F130)</f>
        <v>6.9050000000000002</v>
      </c>
      <c r="G129" s="41">
        <f>SUM('Abr 25'!F130)</f>
        <v>8.3480000000000008</v>
      </c>
      <c r="H129" s="41">
        <f>SUM('May 25'!F130)</f>
        <v>6.5659999999999998</v>
      </c>
      <c r="I129" s="41">
        <f>SUM('Jun 25'!F130)</f>
        <v>11.929</v>
      </c>
      <c r="J129" s="41">
        <f>SUM('Jul 25'!F130)</f>
        <v>9.0950000000000006</v>
      </c>
      <c r="K129" s="41">
        <f>SUM('Ago 25'!F130)</f>
        <v>8.1590000000000007</v>
      </c>
      <c r="L129" s="41">
        <f>SUM('Sep 25'!F130)</f>
        <v>5.6680000000000001</v>
      </c>
      <c r="M129" s="41">
        <f>SUM('Oct 25'!F130)</f>
        <v>5.6680000000000001</v>
      </c>
      <c r="N129" s="41">
        <f>SUM('Nov 25'!F130)</f>
        <v>8.7949999999999999</v>
      </c>
      <c r="O129" s="41">
        <f>SUM('Dic 25'!F130)</f>
        <v>43.210999999999999</v>
      </c>
    </row>
    <row r="130" spans="2:21" x14ac:dyDescent="0.45">
      <c r="B130" s="46" t="s">
        <v>9</v>
      </c>
      <c r="C130" s="46">
        <v>301</v>
      </c>
      <c r="D130" s="41">
        <f>'Ene 25'!F131</f>
        <v>24.513000000000002</v>
      </c>
      <c r="E130" s="41">
        <f>'Feb 25'!F131</f>
        <v>20.625</v>
      </c>
      <c r="F130" s="41">
        <f>SUM('Mar 25'!F131)</f>
        <v>17.849</v>
      </c>
      <c r="G130" s="41">
        <f>SUM('Abr 25'!F131)</f>
        <v>17.690000000000001</v>
      </c>
      <c r="H130" s="41">
        <f>SUM('May 25'!F131)</f>
        <v>24.225999999999999</v>
      </c>
      <c r="I130" s="41">
        <f>SUM('Jun 25'!F131)</f>
        <v>26.902000000000001</v>
      </c>
      <c r="J130" s="41">
        <f>SUM('Jul 25'!F131)</f>
        <v>25.021000000000001</v>
      </c>
      <c r="K130" s="41">
        <f>SUM('Ago 25'!F131)</f>
        <v>15.249000000000001</v>
      </c>
      <c r="L130" s="41">
        <f>SUM('Sep 25'!F131)</f>
        <v>18.673000000000002</v>
      </c>
      <c r="M130" s="41">
        <f>SUM('Oct 25'!F131)</f>
        <v>18.673000000000002</v>
      </c>
      <c r="N130" s="41">
        <f>SUM('Nov 25'!F131)</f>
        <v>25.692</v>
      </c>
      <c r="O130" s="41">
        <f>SUM('Dic 25'!F131)</f>
        <v>23.251999999999999</v>
      </c>
    </row>
    <row r="131" spans="2:21" x14ac:dyDescent="0.45">
      <c r="B131" s="46" t="s">
        <v>9</v>
      </c>
      <c r="C131" s="46">
        <v>302</v>
      </c>
      <c r="D131" s="41">
        <f>'Ene 25'!F132</f>
        <v>5.0339999999999998</v>
      </c>
      <c r="E131" s="41">
        <f>'Feb 25'!F132</f>
        <v>7.8870000000000005</v>
      </c>
      <c r="F131" s="41">
        <f>SUM('Mar 25'!F132)</f>
        <v>3.6950000000000003</v>
      </c>
      <c r="G131" s="41">
        <f>SUM('Abr 25'!F132)</f>
        <v>1.2550000000000001</v>
      </c>
      <c r="H131" s="41">
        <f>SUM('May 25'!F132)</f>
        <v>2.694</v>
      </c>
      <c r="I131" s="41">
        <f>SUM('Jun 25'!F132)</f>
        <v>5.4470000000000001</v>
      </c>
      <c r="J131" s="41">
        <f>SUM('Jul 25'!F132)</f>
        <v>3.8320000000000003</v>
      </c>
      <c r="K131" s="41">
        <f>SUM('Ago 25'!F132)</f>
        <v>12.982000000000001</v>
      </c>
      <c r="L131" s="41">
        <f>SUM('Sep 25'!F132)</f>
        <v>4.1079999999999997</v>
      </c>
      <c r="M131" s="41">
        <f>SUM('Oct 25'!F132)</f>
        <v>4.1079999999999997</v>
      </c>
      <c r="N131" s="41">
        <f>SUM('Nov 25'!F132)</f>
        <v>5.9329999999999998</v>
      </c>
      <c r="O131" s="41">
        <f>SUM('Dic 25'!F132)</f>
        <v>5.1420000000000003</v>
      </c>
    </row>
    <row r="132" spans="2:21" x14ac:dyDescent="0.45">
      <c r="B132" s="46" t="s">
        <v>9</v>
      </c>
      <c r="C132" s="46">
        <v>303</v>
      </c>
      <c r="D132" s="41">
        <f>'Ene 25'!F133</f>
        <v>10.857000000000001</v>
      </c>
      <c r="E132" s="41">
        <f>'Feb 25'!F133</f>
        <v>14.496</v>
      </c>
      <c r="F132" s="41">
        <f>SUM('Mar 25'!F133)</f>
        <v>17.603000000000002</v>
      </c>
      <c r="G132" s="41">
        <f>SUM('Abr 25'!F133)</f>
        <v>11.787000000000001</v>
      </c>
      <c r="H132" s="41">
        <f>SUM('May 25'!F133)</f>
        <v>12.311</v>
      </c>
      <c r="I132" s="41">
        <f>SUM('Jun 25'!F133)</f>
        <v>12.899000000000001</v>
      </c>
      <c r="J132" s="41">
        <f>SUM('Jul 25'!F133)</f>
        <v>8.9689999999999994</v>
      </c>
      <c r="K132" s="41">
        <f>SUM('Ago 25'!F133)</f>
        <v>20.157</v>
      </c>
      <c r="L132" s="41">
        <f>SUM('Sep 25'!F133)</f>
        <v>15.636000000000001</v>
      </c>
      <c r="M132" s="41">
        <f>SUM('Oct 25'!F133)</f>
        <v>15.636000000000001</v>
      </c>
      <c r="N132" s="41">
        <f>SUM('Nov 25'!F133)</f>
        <v>10.978</v>
      </c>
      <c r="O132" s="41">
        <f>SUM('Dic 25'!F133)</f>
        <v>11.204000000000001</v>
      </c>
    </row>
    <row r="133" spans="2:21" x14ac:dyDescent="0.45">
      <c r="B133" s="46" t="s">
        <v>9</v>
      </c>
      <c r="C133" s="46">
        <v>304</v>
      </c>
      <c r="D133" s="41">
        <f>'Ene 25'!F134</f>
        <v>16.282</v>
      </c>
      <c r="E133" s="41">
        <f>'Feb 25'!F134</f>
        <v>14.789</v>
      </c>
      <c r="F133" s="41">
        <f>SUM('Mar 25'!F134)</f>
        <v>17.702000000000002</v>
      </c>
      <c r="G133" s="41">
        <f>SUM('Abr 25'!F134)</f>
        <v>21.705000000000002</v>
      </c>
      <c r="H133" s="41">
        <f>SUM('May 25'!F134)</f>
        <v>20.559000000000001</v>
      </c>
      <c r="I133" s="41">
        <f>SUM('Jun 25'!F134)</f>
        <v>19.387</v>
      </c>
      <c r="J133" s="41">
        <f>SUM('Jul 25'!F134)</f>
        <v>17.926000000000002</v>
      </c>
      <c r="K133" s="41">
        <f>SUM('Ago 25'!F134)</f>
        <v>18.751999999999999</v>
      </c>
      <c r="L133" s="41">
        <f>SUM('Sep 25'!F134)</f>
        <v>14.963000000000001</v>
      </c>
      <c r="M133" s="41">
        <f>SUM('Oct 25'!F134)</f>
        <v>14.963000000000001</v>
      </c>
      <c r="N133" s="41">
        <f>SUM('Nov 25'!F134)</f>
        <v>18.262</v>
      </c>
      <c r="O133" s="41">
        <f>SUM('Dic 25'!F134)</f>
        <v>17.187999999999999</v>
      </c>
    </row>
    <row r="134" spans="2:21" x14ac:dyDescent="0.45">
      <c r="B134" s="46" t="s">
        <v>9</v>
      </c>
      <c r="C134" s="46">
        <v>401</v>
      </c>
      <c r="D134" s="41">
        <f>'Ene 25'!F135</f>
        <v>4.3659999999999997</v>
      </c>
      <c r="E134" s="41">
        <f>'Feb 25'!F135</f>
        <v>2.012</v>
      </c>
      <c r="F134" s="41">
        <f>SUM('Mar 25'!F135)</f>
        <v>2.5270000000000001</v>
      </c>
      <c r="G134" s="41">
        <f>SUM('Abr 25'!F135)</f>
        <v>6.9820000000000002</v>
      </c>
      <c r="H134" s="41">
        <f>SUM('May 25'!F135)</f>
        <v>6.9169999999999998</v>
      </c>
      <c r="I134" s="41">
        <f>SUM('Jun 25'!F135)</f>
        <v>6.4660000000000002</v>
      </c>
      <c r="J134" s="41">
        <f>SUM('Jul 25'!F135)</f>
        <v>6.4119999999999999</v>
      </c>
      <c r="K134" s="41">
        <f>SUM('Ago 25'!F135)</f>
        <v>7.5090000000000003</v>
      </c>
      <c r="L134" s="41">
        <f>SUM('Sep 25'!F135)</f>
        <v>8.5289999999999999</v>
      </c>
      <c r="M134" s="41">
        <f>SUM('Oct 25'!F135)</f>
        <v>8.5289999999999999</v>
      </c>
      <c r="N134" s="41">
        <f>SUM('Nov 25'!F135)</f>
        <v>12.08</v>
      </c>
      <c r="O134" s="41">
        <f>SUM('Dic 25'!F135)</f>
        <v>8.6980000000000004</v>
      </c>
      <c r="U134" t="s">
        <v>12</v>
      </c>
    </row>
    <row r="135" spans="2:21" x14ac:dyDescent="0.45">
      <c r="B135" s="46" t="s">
        <v>9</v>
      </c>
      <c r="C135" s="46">
        <v>402</v>
      </c>
      <c r="D135" s="41">
        <f>'Ene 25'!F136</f>
        <v>5.7750000000000004</v>
      </c>
      <c r="E135" s="41">
        <f>'Feb 25'!F136</f>
        <v>0.01</v>
      </c>
      <c r="F135" s="41">
        <f>SUM('Mar 25'!F136)</f>
        <v>0</v>
      </c>
      <c r="G135" s="41">
        <f>SUM('Abr 25'!F136)</f>
        <v>0</v>
      </c>
      <c r="H135" s="41">
        <f>SUM('May 25'!F136)</f>
        <v>0.57699999999999996</v>
      </c>
      <c r="I135" s="41">
        <f>SUM('Jun 25'!F136)</f>
        <v>3.327</v>
      </c>
      <c r="J135" s="41">
        <f>SUM('Jul 25'!F136)</f>
        <v>0</v>
      </c>
      <c r="K135" s="41">
        <f>SUM('Ago 25'!F136)</f>
        <v>2.5950000000000002</v>
      </c>
      <c r="L135" s="41">
        <f>SUM('Sep 25'!F136)</f>
        <v>1.48</v>
      </c>
      <c r="M135" s="41">
        <f>SUM('Oct 25'!F136)</f>
        <v>1.48</v>
      </c>
      <c r="N135" s="41">
        <f>SUM('Nov 25'!F136)</f>
        <v>0.184</v>
      </c>
      <c r="O135" s="41">
        <f>SUM('Dic 25'!F136)</f>
        <v>0.13800000000000001</v>
      </c>
    </row>
    <row r="136" spans="2:21" x14ac:dyDescent="0.45">
      <c r="B136" s="46" t="s">
        <v>9</v>
      </c>
      <c r="C136" s="46">
        <v>403</v>
      </c>
      <c r="D136" s="41">
        <f>'Ene 25'!F137</f>
        <v>28.334</v>
      </c>
      <c r="E136" s="41">
        <f>'Feb 25'!F137</f>
        <v>29.644000000000002</v>
      </c>
      <c r="F136" s="41">
        <f>SUM('Mar 25'!F137)</f>
        <v>26.362000000000002</v>
      </c>
      <c r="G136" s="41">
        <f>SUM('Abr 25'!F137)</f>
        <v>25.465</v>
      </c>
      <c r="H136" s="41">
        <f>SUM('May 25'!F137)</f>
        <v>23.928000000000001</v>
      </c>
      <c r="I136" s="41">
        <f>SUM('Jun 25'!F137)</f>
        <v>22.664000000000001</v>
      </c>
      <c r="J136" s="41">
        <f>SUM('Jul 25'!F137)</f>
        <v>21.856000000000002</v>
      </c>
      <c r="K136" s="41">
        <f>SUM('Ago 25'!F137)</f>
        <v>20.900000000000002</v>
      </c>
      <c r="L136" s="41">
        <f>SUM('Sep 25'!F137)</f>
        <v>20.439</v>
      </c>
      <c r="M136" s="41">
        <f>SUM('Oct 25'!F137)</f>
        <v>20.439</v>
      </c>
      <c r="N136" s="41">
        <f>SUM('Nov 25'!F137)</f>
        <v>19.510999999999999</v>
      </c>
      <c r="O136" s="41">
        <f>SUM('Dic 25'!F137)</f>
        <v>21.504000000000001</v>
      </c>
    </row>
    <row r="137" spans="2:21" x14ac:dyDescent="0.45">
      <c r="B137" s="46" t="s">
        <v>9</v>
      </c>
      <c r="C137" s="46">
        <v>404</v>
      </c>
      <c r="D137" s="41">
        <f>'Ene 25'!F138</f>
        <v>13.529</v>
      </c>
      <c r="E137" s="41">
        <f>'Feb 25'!F138</f>
        <v>17.673000000000002</v>
      </c>
      <c r="F137" s="41">
        <f>SUM('Mar 25'!F138)</f>
        <v>15.673</v>
      </c>
      <c r="G137" s="41">
        <f>SUM('Abr 25'!F138)</f>
        <v>16.266000000000002</v>
      </c>
      <c r="H137" s="41">
        <f>SUM('May 25'!F138)</f>
        <v>19.477</v>
      </c>
      <c r="I137" s="41">
        <f>SUM('Jun 25'!F138)</f>
        <v>15.045</v>
      </c>
      <c r="J137" s="41">
        <f>SUM('Jul 25'!F138)</f>
        <v>15.464</v>
      </c>
      <c r="K137" s="41">
        <f>SUM('Ago 25'!F138)</f>
        <v>18.022000000000002</v>
      </c>
      <c r="L137" s="41">
        <f>SUM('Sep 25'!F138)</f>
        <v>16.001999999999999</v>
      </c>
      <c r="M137" s="41">
        <f>SUM('Oct 25'!F138)</f>
        <v>16.001999999999999</v>
      </c>
      <c r="N137" s="41">
        <f>SUM('Nov 25'!F138)</f>
        <v>14.434000000000001</v>
      </c>
      <c r="O137" s="41">
        <f>SUM('Dic 25'!F138)</f>
        <v>15.406000000000001</v>
      </c>
    </row>
    <row r="138" spans="2:21" x14ac:dyDescent="0.45">
      <c r="B138" s="46" t="s">
        <v>9</v>
      </c>
      <c r="C138" s="46">
        <v>501</v>
      </c>
      <c r="D138" s="41">
        <f>'Ene 25'!F139</f>
        <v>18.673999999999999</v>
      </c>
      <c r="E138" s="41">
        <f>'Feb 25'!F139</f>
        <v>21.556000000000001</v>
      </c>
      <c r="F138" s="41">
        <f>SUM('Mar 25'!F139)</f>
        <v>21.015000000000001</v>
      </c>
      <c r="G138" s="41">
        <f>SUM('Abr 25'!F139)</f>
        <v>21.273</v>
      </c>
      <c r="H138" s="41">
        <f>SUM('May 25'!F139)</f>
        <v>18.468</v>
      </c>
      <c r="I138" s="41">
        <f>SUM('Jun 25'!F139)</f>
        <v>20.004000000000001</v>
      </c>
      <c r="J138" s="41">
        <f>SUM('Jul 25'!F139)</f>
        <v>28.923000000000002</v>
      </c>
      <c r="K138" s="41">
        <f>SUM('Ago 25'!F139)</f>
        <v>16.672000000000001</v>
      </c>
      <c r="L138" s="41">
        <f>SUM('Sep 25'!F139)</f>
        <v>14.06</v>
      </c>
      <c r="M138" s="41">
        <f>SUM('Oct 25'!F139)</f>
        <v>14.06</v>
      </c>
      <c r="N138" s="41">
        <f>SUM('Nov 25'!F139)</f>
        <v>15.679</v>
      </c>
      <c r="O138" s="41">
        <f>SUM('Dic 25'!F139)</f>
        <v>15.407999999999999</v>
      </c>
    </row>
    <row r="139" spans="2:21" x14ac:dyDescent="0.45">
      <c r="B139" s="46" t="s">
        <v>9</v>
      </c>
      <c r="C139" s="46">
        <v>502</v>
      </c>
      <c r="D139" s="41">
        <f>'Ene 25'!F140</f>
        <v>6.8500000000000005</v>
      </c>
      <c r="E139" s="41">
        <f>'Feb 25'!F140</f>
        <v>5.2290000000000001</v>
      </c>
      <c r="F139" s="41">
        <f>SUM('Mar 25'!F140)</f>
        <v>6.8120000000000003</v>
      </c>
      <c r="G139" s="41">
        <f>SUM('Abr 25'!F140)</f>
        <v>10.181000000000001</v>
      </c>
      <c r="H139" s="41">
        <f>SUM('May 25'!F140)</f>
        <v>7.6240000000000006</v>
      </c>
      <c r="I139" s="41">
        <f>SUM('Jun 25'!F140)</f>
        <v>7.0090000000000003</v>
      </c>
      <c r="J139" s="41">
        <f>SUM('Jul 25'!F140)</f>
        <v>7.48</v>
      </c>
      <c r="K139" s="41">
        <f>SUM('Ago 25'!F140)</f>
        <v>4.8410000000000002</v>
      </c>
      <c r="L139" s="41">
        <f>SUM('Sep 25'!F140)</f>
        <v>6.2439999999999998</v>
      </c>
      <c r="M139" s="41">
        <f>SUM('Oct 25'!F140)</f>
        <v>6.2439999999999998</v>
      </c>
      <c r="N139" s="41">
        <f>SUM('Nov 25'!F140)</f>
        <v>8.8650000000000002</v>
      </c>
      <c r="O139" s="41">
        <f>SUM('Dic 25'!F140)</f>
        <v>6.7730000000000006</v>
      </c>
    </row>
    <row r="140" spans="2:21" x14ac:dyDescent="0.45">
      <c r="B140" s="46" t="s">
        <v>9</v>
      </c>
      <c r="C140" s="46">
        <v>503</v>
      </c>
      <c r="D140" s="41">
        <f>'Ene 25'!F141</f>
        <v>5.0709999999999997</v>
      </c>
      <c r="E140" s="41">
        <f>'Feb 25'!F141</f>
        <v>4.109</v>
      </c>
      <c r="F140" s="41">
        <f>SUM('Mar 25'!F141)</f>
        <v>3.5960000000000001</v>
      </c>
      <c r="G140" s="41">
        <f>SUM('Abr 25'!F141)</f>
        <v>4.6680000000000001</v>
      </c>
      <c r="H140" s="41">
        <f>SUM('May 25'!F141)</f>
        <v>8.827</v>
      </c>
      <c r="I140" s="41">
        <f>SUM('Jun 25'!F141)</f>
        <v>8.8610000000000007</v>
      </c>
      <c r="J140" s="41">
        <f>SUM('Jul 25'!F141)</f>
        <v>8.11</v>
      </c>
      <c r="K140" s="41">
        <f>SUM('Ago 25'!F141)</f>
        <v>9.6720000000000006</v>
      </c>
      <c r="L140" s="41">
        <f>SUM('Sep 25'!F141)</f>
        <v>9.7219999999999995</v>
      </c>
      <c r="M140" s="41">
        <f>SUM('Oct 25'!F141)</f>
        <v>9.7219999999999995</v>
      </c>
      <c r="N140" s="41">
        <f>SUM('Nov 25'!F141)</f>
        <v>14.950000000000001</v>
      </c>
      <c r="O140" s="41">
        <f>SUM('Dic 25'!F141)</f>
        <v>12.373000000000001</v>
      </c>
    </row>
    <row r="141" spans="2:21" x14ac:dyDescent="0.45">
      <c r="B141" s="46" t="s">
        <v>9</v>
      </c>
      <c r="C141" s="46">
        <v>504</v>
      </c>
      <c r="D141" s="41">
        <f>'Ene 25'!F142</f>
        <v>5.625</v>
      </c>
      <c r="E141" s="41">
        <f>'Feb 25'!F142</f>
        <v>5.8260000000000005</v>
      </c>
      <c r="F141" s="41">
        <f>SUM('Mar 25'!F142)</f>
        <v>5.7130000000000001</v>
      </c>
      <c r="G141" s="41">
        <f>SUM('Abr 25'!F142)</f>
        <v>6.9820000000000002</v>
      </c>
      <c r="H141" s="41">
        <f>SUM('May 25'!F142)</f>
        <v>5.8689999999999998</v>
      </c>
      <c r="I141" s="41">
        <f>SUM('Jun 25'!F142)</f>
        <v>5.4050000000000002</v>
      </c>
      <c r="J141" s="41">
        <f>SUM('Jul 25'!F142)</f>
        <v>5.8449999999999998</v>
      </c>
      <c r="K141" s="41">
        <f>SUM('Ago 25'!F142)</f>
        <v>4.1420000000000003</v>
      </c>
      <c r="L141" s="41">
        <f>SUM('Sep 25'!F142)</f>
        <v>6.274</v>
      </c>
      <c r="M141" s="41">
        <f>SUM('Oct 25'!F142)</f>
        <v>6.274</v>
      </c>
      <c r="N141" s="41">
        <f>SUM('Nov 25'!F142)</f>
        <v>8.9350000000000005</v>
      </c>
      <c r="O141" s="41">
        <f>SUM('Dic 25'!F142)</f>
        <v>7.4290000000000003</v>
      </c>
    </row>
    <row r="142" spans="2:21" x14ac:dyDescent="0.45">
      <c r="B142" s="46" t="s">
        <v>10</v>
      </c>
      <c r="C142" s="46">
        <v>101</v>
      </c>
      <c r="D142" s="41">
        <f>'Ene 25'!F143</f>
        <v>18.283000000000001</v>
      </c>
      <c r="E142" s="41">
        <f>'Feb 25'!F143</f>
        <v>17.204000000000001</v>
      </c>
      <c r="F142" s="41">
        <f>SUM('Mar 25'!F143)</f>
        <v>15.943</v>
      </c>
      <c r="G142" s="41">
        <f>SUM('Abr 25'!F143)</f>
        <v>20.663</v>
      </c>
      <c r="H142" s="41">
        <f>SUM('May 25'!F143)</f>
        <v>21.766000000000002</v>
      </c>
      <c r="I142" s="41">
        <f>SUM('Jun 25'!F143)</f>
        <v>19.262</v>
      </c>
      <c r="J142" s="41">
        <f>SUM('Jul 25'!F143)</f>
        <v>17.312000000000001</v>
      </c>
      <c r="K142" s="41">
        <f>SUM('Ago 25'!F143)</f>
        <v>16.490000000000002</v>
      </c>
      <c r="L142" s="41">
        <f>SUM('Sep 25'!F143)</f>
        <v>23.248000000000001</v>
      </c>
      <c r="M142" s="41">
        <f>SUM('Oct 25'!F143)</f>
        <v>23.248000000000001</v>
      </c>
      <c r="N142" s="41">
        <f>SUM('Nov 25'!F143)</f>
        <v>18.875</v>
      </c>
      <c r="O142" s="41">
        <f>SUM('Dic 25'!F143)</f>
        <v>23.009</v>
      </c>
    </row>
    <row r="143" spans="2:21" x14ac:dyDescent="0.45">
      <c r="B143" s="46" t="s">
        <v>10</v>
      </c>
      <c r="C143" s="46">
        <v>102</v>
      </c>
      <c r="D143" s="41">
        <f>'Ene 25'!F144</f>
        <v>7.43</v>
      </c>
      <c r="E143" s="41">
        <f>'Feb 25'!F144</f>
        <v>10.447000000000001</v>
      </c>
      <c r="F143" s="41">
        <f>SUM('Mar 25'!F144)</f>
        <v>8.5730000000000004</v>
      </c>
      <c r="G143" s="41">
        <f>SUM('Abr 25'!F144)</f>
        <v>10.875</v>
      </c>
      <c r="H143" s="41">
        <f>SUM('May 25'!F144)</f>
        <v>6.9880000000000004</v>
      </c>
      <c r="I143" s="41">
        <f>SUM('Jun 25'!F144)</f>
        <v>3.512</v>
      </c>
      <c r="J143" s="41">
        <f>SUM('Jul 25'!F144)</f>
        <v>3.649</v>
      </c>
      <c r="K143" s="41">
        <f>SUM('Ago 25'!F144)</f>
        <v>4.3940000000000001</v>
      </c>
      <c r="L143" s="41">
        <f>SUM('Sep 25'!F144)</f>
        <v>2.4279999999999999</v>
      </c>
      <c r="M143" s="41">
        <f>SUM('Oct 25'!F144)</f>
        <v>2.4279999999999999</v>
      </c>
      <c r="N143" s="41">
        <f>SUM('Nov 25'!F144)</f>
        <v>4.4350000000000005</v>
      </c>
      <c r="O143" s="41">
        <f>SUM('Dic 25'!F144)</f>
        <v>4.8860000000000001</v>
      </c>
    </row>
    <row r="144" spans="2:21" x14ac:dyDescent="0.45">
      <c r="B144" s="46" t="s">
        <v>10</v>
      </c>
      <c r="C144" s="46">
        <v>103</v>
      </c>
      <c r="D144" s="41">
        <f>'Ene 25'!F145</f>
        <v>7.1480000000000006</v>
      </c>
      <c r="E144" s="41">
        <f>'Feb 25'!F145</f>
        <v>12.789</v>
      </c>
      <c r="F144" s="41">
        <f>SUM('Mar 25'!F145)</f>
        <v>10.029999999999999</v>
      </c>
      <c r="G144" s="41">
        <f>SUM('Abr 25'!F145)</f>
        <v>12.265000000000001</v>
      </c>
      <c r="H144" s="41">
        <f>SUM('May 25'!F145)</f>
        <v>10.555</v>
      </c>
      <c r="I144" s="41">
        <f>SUM('Jun 25'!F145)</f>
        <v>5.4089999999999998</v>
      </c>
      <c r="J144" s="41">
        <f>SUM('Jul 25'!F145)</f>
        <v>8.995000000000001</v>
      </c>
      <c r="K144" s="41">
        <f>SUM('Ago 25'!F145)</f>
        <v>6.7839999999999998</v>
      </c>
      <c r="L144" s="41">
        <f>SUM('Sep 25'!F145)</f>
        <v>6.2279999999999998</v>
      </c>
      <c r="M144" s="41">
        <f>SUM('Oct 25'!F145)</f>
        <v>6.2279999999999998</v>
      </c>
      <c r="N144" s="41">
        <f>SUM('Nov 25'!F145)</f>
        <v>3.9940000000000002</v>
      </c>
      <c r="O144" s="41">
        <f>SUM('Dic 25'!F145)</f>
        <v>1.7000000000000001E-2</v>
      </c>
    </row>
    <row r="145" spans="2:15" x14ac:dyDescent="0.45">
      <c r="B145" s="46" t="s">
        <v>10</v>
      </c>
      <c r="C145" s="46">
        <v>104</v>
      </c>
      <c r="D145" s="41">
        <f>'Ene 25'!F146</f>
        <v>13.752000000000001</v>
      </c>
      <c r="E145" s="41">
        <f>'Feb 25'!F146</f>
        <v>10.554</v>
      </c>
      <c r="F145" s="41">
        <f>SUM('Mar 25'!F146)</f>
        <v>14.244</v>
      </c>
      <c r="G145" s="41">
        <f>SUM('Abr 25'!F146)</f>
        <v>14.528</v>
      </c>
      <c r="H145" s="41">
        <f>SUM('May 25'!F146)</f>
        <v>15.262</v>
      </c>
      <c r="I145" s="41">
        <f>SUM('Jun 25'!F146)</f>
        <v>22.317</v>
      </c>
      <c r="J145" s="41">
        <f>SUM('Jul 25'!F146)</f>
        <v>13.698</v>
      </c>
      <c r="K145" s="41">
        <f>SUM('Ago 25'!F146)</f>
        <v>16.175000000000001</v>
      </c>
      <c r="L145" s="41">
        <f>SUM('Sep 25'!F146)</f>
        <v>24.810000000000002</v>
      </c>
      <c r="M145" s="41">
        <f>SUM('Oct 25'!F146)</f>
        <v>24.810000000000002</v>
      </c>
      <c r="N145" s="41">
        <f>SUM('Nov 25'!F146)</f>
        <v>15.757</v>
      </c>
      <c r="O145" s="41">
        <f>SUM('Dic 25'!F146)</f>
        <v>18.135999999999999</v>
      </c>
    </row>
    <row r="146" spans="2:15" x14ac:dyDescent="0.45">
      <c r="B146" s="46" t="s">
        <v>10</v>
      </c>
      <c r="C146" s="46">
        <v>201</v>
      </c>
      <c r="D146" s="41">
        <f>'Ene 25'!F147</f>
        <v>43.829000000000001</v>
      </c>
      <c r="E146" s="41">
        <f>'Feb 25'!F147</f>
        <v>48.948</v>
      </c>
      <c r="F146" s="41">
        <f>SUM('Mar 25'!F147)</f>
        <v>45.298999999999999</v>
      </c>
      <c r="G146" s="41">
        <f>SUM('Abr 25'!F147)</f>
        <v>51.730000000000004</v>
      </c>
      <c r="H146" s="41">
        <f>SUM('May 25'!F147)</f>
        <v>38.846000000000004</v>
      </c>
      <c r="I146" s="41">
        <f>SUM('Jun 25'!F147)</f>
        <v>43.429000000000002</v>
      </c>
      <c r="J146" s="41">
        <f>SUM('Jul 25'!F147)</f>
        <v>38.185000000000002</v>
      </c>
      <c r="K146" s="41">
        <f>SUM('Ago 25'!F147)</f>
        <v>37.667000000000002</v>
      </c>
      <c r="L146" s="41">
        <f>SUM('Sep 25'!F147)</f>
        <v>41.061</v>
      </c>
      <c r="M146" s="41">
        <f>SUM('Oct 25'!F147)</f>
        <v>41.061</v>
      </c>
      <c r="N146" s="41">
        <f>SUM('Nov 25'!F147)</f>
        <v>44.57</v>
      </c>
      <c r="O146" s="41">
        <f>SUM('Dic 25'!F147)</f>
        <v>49.292999999999999</v>
      </c>
    </row>
    <row r="147" spans="2:15" x14ac:dyDescent="0.45">
      <c r="B147" s="46" t="s">
        <v>10</v>
      </c>
      <c r="C147" s="46">
        <v>202</v>
      </c>
      <c r="D147" s="41">
        <f>'Ene 25'!F148</f>
        <v>23.597999999999999</v>
      </c>
      <c r="E147" s="41">
        <f>'Feb 25'!F148</f>
        <v>19.343</v>
      </c>
      <c r="F147" s="41">
        <f>SUM('Mar 25'!F148)</f>
        <v>19.097000000000001</v>
      </c>
      <c r="G147" s="41">
        <f>SUM('Abr 25'!F148)</f>
        <v>9.4250000000000007</v>
      </c>
      <c r="H147" s="41">
        <f>SUM('May 25'!F148)</f>
        <v>8.6449999999999996</v>
      </c>
      <c r="I147" s="41">
        <f>SUM('Jun 25'!F148)</f>
        <v>8.2249999999999996</v>
      </c>
      <c r="J147" s="41">
        <f>SUM('Jul 25'!F148)</f>
        <v>4.5250000000000004</v>
      </c>
      <c r="K147" s="41">
        <f>SUM('Ago 25'!F148)</f>
        <v>17.641000000000002</v>
      </c>
      <c r="L147" s="41">
        <f>SUM('Sep 25'!F148)</f>
        <v>9.2620000000000005</v>
      </c>
      <c r="M147" s="41">
        <f>SUM('Oct 25'!F148)</f>
        <v>9.2620000000000005</v>
      </c>
      <c r="N147" s="41">
        <f>SUM('Nov 25'!F148)</f>
        <v>13.148</v>
      </c>
      <c r="O147" s="41">
        <f>SUM('Dic 25'!F148)</f>
        <v>27.208000000000002</v>
      </c>
    </row>
    <row r="148" spans="2:15" x14ac:dyDescent="0.45">
      <c r="B148" s="46" t="s">
        <v>10</v>
      </c>
      <c r="C148" s="46">
        <v>203</v>
      </c>
      <c r="D148" s="41">
        <f>'Ene 25'!F149</f>
        <v>16.338999999999999</v>
      </c>
      <c r="E148" s="41">
        <f>'Feb 25'!F149</f>
        <v>17.469000000000001</v>
      </c>
      <c r="F148" s="41">
        <f>SUM('Mar 25'!F149)</f>
        <v>15.718</v>
      </c>
      <c r="G148" s="41">
        <f>SUM('Abr 25'!F149)</f>
        <v>17.516999999999999</v>
      </c>
      <c r="H148" s="41">
        <f>SUM('May 25'!F149)</f>
        <v>12.34</v>
      </c>
      <c r="I148" s="41">
        <f>SUM('Jun 25'!F149)</f>
        <v>11.801</v>
      </c>
      <c r="J148" s="41">
        <f>SUM('Jul 25'!F149)</f>
        <v>13.06</v>
      </c>
      <c r="K148" s="41">
        <f>SUM('Ago 25'!F149)</f>
        <v>12.656000000000001</v>
      </c>
      <c r="L148" s="41">
        <f>SUM('Sep 25'!F149)</f>
        <v>15.857000000000001</v>
      </c>
      <c r="M148" s="41">
        <f>SUM('Oct 25'!F149)</f>
        <v>15.857000000000001</v>
      </c>
      <c r="N148" s="41">
        <f>SUM('Nov 25'!F149)</f>
        <v>20.865000000000002</v>
      </c>
      <c r="O148" s="41">
        <f>SUM('Dic 25'!F149)</f>
        <v>22.498999999999999</v>
      </c>
    </row>
    <row r="149" spans="2:15" x14ac:dyDescent="0.45">
      <c r="B149" s="46" t="s">
        <v>10</v>
      </c>
      <c r="C149" s="46">
        <v>204</v>
      </c>
      <c r="D149" s="41">
        <f>'Ene 25'!F150</f>
        <v>7.2570000000000006</v>
      </c>
      <c r="E149" s="41">
        <f>'Feb 25'!F150</f>
        <v>6.7170000000000005</v>
      </c>
      <c r="F149" s="41">
        <f>SUM('Mar 25'!F150)</f>
        <v>15.975</v>
      </c>
      <c r="G149" s="41">
        <f>SUM('Abr 25'!F150)</f>
        <v>7.6790000000000003</v>
      </c>
      <c r="H149" s="41">
        <f>SUM('May 25'!F150)</f>
        <v>5.78</v>
      </c>
      <c r="I149" s="41">
        <f>SUM('Jun 25'!F150)</f>
        <v>10.220000000000001</v>
      </c>
      <c r="J149" s="41">
        <f>SUM('Jul 25'!F150)</f>
        <v>0.153</v>
      </c>
      <c r="K149" s="41">
        <f>SUM('Ago 25'!F150)</f>
        <v>4.8760000000000003</v>
      </c>
      <c r="L149" s="41">
        <f>SUM('Sep 25'!F150)</f>
        <v>0.14300000000000002</v>
      </c>
      <c r="M149" s="41">
        <f>SUM('Oct 25'!F150)</f>
        <v>0.14300000000000002</v>
      </c>
      <c r="N149" s="41">
        <f>SUM('Nov 25'!F150)</f>
        <v>2.3570000000000002</v>
      </c>
      <c r="O149" s="41">
        <f>SUM('Dic 25'!F150)</f>
        <v>0.23400000000000001</v>
      </c>
    </row>
    <row r="150" spans="2:15" x14ac:dyDescent="0.45">
      <c r="B150" s="46" t="s">
        <v>10</v>
      </c>
      <c r="C150" s="46">
        <v>301</v>
      </c>
      <c r="D150" s="41">
        <f>'Ene 25'!F151</f>
        <v>13.628</v>
      </c>
      <c r="E150" s="41">
        <f>'Feb 25'!F151</f>
        <v>15.211</v>
      </c>
      <c r="F150" s="41">
        <f>SUM('Mar 25'!F151)</f>
        <v>11.404999999999999</v>
      </c>
      <c r="G150" s="41">
        <f>SUM('Abr 25'!F151)</f>
        <v>14.939</v>
      </c>
      <c r="H150" s="41">
        <f>SUM('May 25'!F151)</f>
        <v>13.478</v>
      </c>
      <c r="I150" s="41">
        <f>SUM('Jun 25'!F151)</f>
        <v>15.722</v>
      </c>
      <c r="J150" s="41">
        <f>SUM('Jul 25'!F151)</f>
        <v>12.035</v>
      </c>
      <c r="K150" s="41">
        <f>SUM('Ago 25'!F151)</f>
        <v>14.016</v>
      </c>
      <c r="L150" s="41">
        <f>SUM('Sep 25'!F151)</f>
        <v>11.072000000000001</v>
      </c>
      <c r="M150" s="41">
        <f>SUM('Oct 25'!F151)</f>
        <v>11.072000000000001</v>
      </c>
      <c r="N150" s="41">
        <f>SUM('Nov 25'!F151)</f>
        <v>8.64</v>
      </c>
      <c r="O150" s="41">
        <f>SUM('Dic 25'!F151)</f>
        <v>14.276</v>
      </c>
    </row>
    <row r="151" spans="2:15" x14ac:dyDescent="0.45">
      <c r="B151" s="46" t="s">
        <v>10</v>
      </c>
      <c r="C151" s="46">
        <v>302</v>
      </c>
      <c r="D151" s="41">
        <f>'Ene 25'!F152</f>
        <v>26.791</v>
      </c>
      <c r="E151" s="41">
        <f>'Feb 25'!F152</f>
        <v>18.728999999999999</v>
      </c>
      <c r="F151" s="41">
        <f>SUM('Mar 25'!F152)</f>
        <v>19.478000000000002</v>
      </c>
      <c r="G151" s="41">
        <f>SUM('Abr 25'!F152)</f>
        <v>21.871000000000002</v>
      </c>
      <c r="H151" s="41">
        <f>SUM('May 25'!F152)</f>
        <v>20.618000000000002</v>
      </c>
      <c r="I151" s="41">
        <f>SUM('Jun 25'!F152)</f>
        <v>17.181999999999999</v>
      </c>
      <c r="J151" s="41">
        <f>SUM('Jul 25'!F152)</f>
        <v>15.998000000000001</v>
      </c>
      <c r="K151" s="41">
        <f>SUM('Ago 25'!F152)</f>
        <v>18.083000000000002</v>
      </c>
      <c r="L151" s="41">
        <f>SUM('Sep 25'!F152)</f>
        <v>18.187000000000001</v>
      </c>
      <c r="M151" s="41">
        <f>SUM('Oct 25'!F152)</f>
        <v>18.187000000000001</v>
      </c>
      <c r="N151" s="41">
        <f>SUM('Nov 25'!F152)</f>
        <v>16.698</v>
      </c>
      <c r="O151" s="41">
        <f>SUM('Dic 25'!F152)</f>
        <v>15.141999999999999</v>
      </c>
    </row>
    <row r="152" spans="2:15" x14ac:dyDescent="0.45">
      <c r="B152" s="46" t="s">
        <v>10</v>
      </c>
      <c r="C152" s="46">
        <v>303</v>
      </c>
      <c r="D152" s="41">
        <f>'Ene 25'!F153</f>
        <v>29.234999999999999</v>
      </c>
      <c r="E152" s="41">
        <f>'Feb 25'!F153</f>
        <v>19.937000000000001</v>
      </c>
      <c r="F152" s="41">
        <f>SUM('Mar 25'!F153)</f>
        <v>4.9740000000000002</v>
      </c>
      <c r="G152" s="41">
        <f>SUM('Abr 25'!F153)</f>
        <v>5.2060000000000004</v>
      </c>
      <c r="H152" s="41">
        <f>SUM('May 25'!F153)</f>
        <v>8.9510000000000005</v>
      </c>
      <c r="I152" s="41">
        <f>SUM('Jun 25'!F153)</f>
        <v>6.2290000000000001</v>
      </c>
      <c r="J152" s="41">
        <f>SUM('Jul 25'!F153)</f>
        <v>6.3769999999999998</v>
      </c>
      <c r="K152" s="41">
        <f>SUM('Ago 25'!F153)</f>
        <v>5.4169999999999998</v>
      </c>
      <c r="L152" s="41">
        <f>SUM('Sep 25'!F153)</f>
        <v>11.368</v>
      </c>
      <c r="M152" s="41">
        <f>SUM('Oct 25'!F153)</f>
        <v>11.368</v>
      </c>
      <c r="N152" s="41">
        <f>SUM('Nov 25'!F153)</f>
        <v>10.173</v>
      </c>
      <c r="O152" s="41">
        <f>SUM('Dic 25'!F153)</f>
        <v>10.638</v>
      </c>
    </row>
    <row r="153" spans="2:15" x14ac:dyDescent="0.45">
      <c r="B153" s="46" t="s">
        <v>10</v>
      </c>
      <c r="C153" s="46">
        <v>304</v>
      </c>
      <c r="D153" s="41">
        <f>'Ene 25'!F154</f>
        <v>27.429000000000002</v>
      </c>
      <c r="E153" s="41">
        <f>'Feb 25'!F154</f>
        <v>23.984999999999999</v>
      </c>
      <c r="F153" s="41">
        <f>SUM('Mar 25'!F154)</f>
        <v>19.280999999999999</v>
      </c>
      <c r="G153" s="41">
        <f>SUM('Abr 25'!F154)</f>
        <v>21.830000000000002</v>
      </c>
      <c r="H153" s="41">
        <f>SUM('May 25'!F154)</f>
        <v>16.201000000000001</v>
      </c>
      <c r="I153" s="41">
        <f>SUM('Jun 25'!F154)</f>
        <v>22.312000000000001</v>
      </c>
      <c r="J153" s="41">
        <f>SUM('Jul 25'!F154)</f>
        <v>18.711000000000002</v>
      </c>
      <c r="K153" s="41">
        <f>SUM('Ago 25'!F154)</f>
        <v>15.109</v>
      </c>
      <c r="L153" s="41">
        <f>SUM('Sep 25'!F154)</f>
        <v>19.884</v>
      </c>
      <c r="M153" s="41">
        <f>SUM('Oct 25'!F154)</f>
        <v>19.884</v>
      </c>
      <c r="N153" s="41">
        <f>SUM('Nov 25'!F154)</f>
        <v>21.204000000000001</v>
      </c>
      <c r="O153" s="41">
        <f>SUM('Dic 25'!F154)</f>
        <v>13.722</v>
      </c>
    </row>
    <row r="154" spans="2:15" x14ac:dyDescent="0.45">
      <c r="B154" s="46" t="s">
        <v>10</v>
      </c>
      <c r="C154" s="46">
        <v>401</v>
      </c>
      <c r="D154" s="41">
        <f>'Ene 25'!F155</f>
        <v>28.654</v>
      </c>
      <c r="E154" s="41">
        <f>'Feb 25'!F155</f>
        <v>28.071000000000002</v>
      </c>
      <c r="F154" s="41">
        <f>SUM('Mar 25'!F155)</f>
        <v>26.596</v>
      </c>
      <c r="G154" s="41">
        <f>SUM('Abr 25'!F155)</f>
        <v>37.65</v>
      </c>
      <c r="H154" s="41">
        <f>SUM('May 25'!F155)</f>
        <v>26.359000000000002</v>
      </c>
      <c r="I154" s="41">
        <f>SUM('Jun 25'!F155)</f>
        <v>34.027999999999999</v>
      </c>
      <c r="J154" s="41">
        <f>SUM('Jul 25'!F155)</f>
        <v>27.138000000000002</v>
      </c>
      <c r="K154" s="41">
        <f>SUM('Ago 25'!F155)</f>
        <v>29.621000000000002</v>
      </c>
      <c r="L154" s="41">
        <f>SUM('Sep 25'!F155)</f>
        <v>32.987000000000002</v>
      </c>
      <c r="M154" s="41">
        <f>SUM('Oct 25'!F155)</f>
        <v>32.987000000000002</v>
      </c>
      <c r="N154" s="41">
        <f>SUM('Nov 25'!F155)</f>
        <v>21.783000000000001</v>
      </c>
      <c r="O154" s="41">
        <f>SUM('Dic 25'!F155)</f>
        <v>1.9510000000000001</v>
      </c>
    </row>
    <row r="155" spans="2:15" x14ac:dyDescent="0.45">
      <c r="B155" s="46" t="s">
        <v>10</v>
      </c>
      <c r="C155" s="46">
        <v>402</v>
      </c>
      <c r="D155" s="41">
        <f>'Ene 25'!F156</f>
        <v>14.984999999999999</v>
      </c>
      <c r="E155" s="41">
        <f>'Feb 25'!F156</f>
        <v>14.349</v>
      </c>
      <c r="F155" s="41">
        <f>SUM('Mar 25'!F156)</f>
        <v>13.364000000000001</v>
      </c>
      <c r="G155" s="41">
        <f>SUM('Abr 25'!F156)</f>
        <v>15.791</v>
      </c>
      <c r="H155" s="41">
        <f>SUM('May 25'!F156)</f>
        <v>13.646000000000001</v>
      </c>
      <c r="I155" s="41">
        <f>SUM('Jun 25'!F156)</f>
        <v>16.66</v>
      </c>
      <c r="J155" s="41">
        <f>SUM('Jul 25'!F156)</f>
        <v>17.463000000000001</v>
      </c>
      <c r="K155" s="41">
        <f>SUM('Ago 25'!F156)</f>
        <v>18.443999999999999</v>
      </c>
      <c r="L155" s="41">
        <f>SUM('Sep 25'!F156)</f>
        <v>17.187000000000001</v>
      </c>
      <c r="M155" s="41">
        <f>SUM('Oct 25'!F156)</f>
        <v>17.187000000000001</v>
      </c>
      <c r="N155" s="41">
        <f>SUM('Nov 25'!F156)</f>
        <v>8.5909999999999993</v>
      </c>
      <c r="O155" s="41">
        <f>SUM('Dic 25'!F156)</f>
        <v>14.497</v>
      </c>
    </row>
    <row r="156" spans="2:15" x14ac:dyDescent="0.45">
      <c r="B156" s="46" t="s">
        <v>10</v>
      </c>
      <c r="C156" s="46">
        <v>403</v>
      </c>
      <c r="D156" s="41">
        <f>'Ene 25'!F157</f>
        <v>0.72299999999999998</v>
      </c>
      <c r="E156" s="41">
        <f>'Feb 25'!F157</f>
        <v>0.39200000000000002</v>
      </c>
      <c r="F156" s="41">
        <f>SUM('Mar 25'!F157)</f>
        <v>6.1130000000000004</v>
      </c>
      <c r="G156" s="41">
        <f>SUM('Abr 25'!F157)</f>
        <v>8.4109999999999996</v>
      </c>
      <c r="H156" s="41">
        <f>SUM('May 25'!F157)</f>
        <v>32.253999999999998</v>
      </c>
      <c r="I156" s="41">
        <f>SUM('Jun 25'!F157)</f>
        <v>0.57699999999999996</v>
      </c>
      <c r="J156" s="41">
        <f>SUM('Jul 25'!F157)</f>
        <v>31.241</v>
      </c>
      <c r="K156" s="41">
        <f>SUM('Ago 25'!F157)</f>
        <v>24.693000000000001</v>
      </c>
      <c r="L156" s="41">
        <f>SUM('Sep 25'!F157)</f>
        <v>22.038</v>
      </c>
      <c r="M156" s="41">
        <f>SUM('Oct 25'!F157)</f>
        <v>22.038</v>
      </c>
      <c r="N156" s="41">
        <f>SUM('Nov 25'!F157)</f>
        <v>18.445</v>
      </c>
      <c r="O156" s="41">
        <f>SUM('Dic 25'!F157)</f>
        <v>22.895</v>
      </c>
    </row>
    <row r="157" spans="2:15" x14ac:dyDescent="0.45">
      <c r="B157" s="46" t="s">
        <v>10</v>
      </c>
      <c r="C157" s="46">
        <v>404</v>
      </c>
      <c r="D157" s="41">
        <f>'Ene 25'!F158</f>
        <v>13.24</v>
      </c>
      <c r="E157" s="41">
        <f>'Feb 25'!F158</f>
        <v>19.449000000000002</v>
      </c>
      <c r="F157" s="41">
        <f>SUM('Mar 25'!F158)</f>
        <v>15.407999999999999</v>
      </c>
      <c r="G157" s="41">
        <f>SUM('Abr 25'!F158)</f>
        <v>17.73</v>
      </c>
      <c r="H157" s="41">
        <f>SUM('May 25'!F158)</f>
        <v>16.991</v>
      </c>
      <c r="I157" s="41">
        <f>SUM('Jun 25'!F158)</f>
        <v>15.524000000000001</v>
      </c>
      <c r="J157" s="41">
        <f>SUM('Jul 25'!F158)</f>
        <v>18.619</v>
      </c>
      <c r="K157" s="41">
        <f>SUM('Ago 25'!F158)</f>
        <v>17.155000000000001</v>
      </c>
      <c r="L157" s="41">
        <f>SUM('Sep 25'!F158)</f>
        <v>15.039</v>
      </c>
      <c r="M157" s="41">
        <f>SUM('Oct 25'!F158)</f>
        <v>15.039</v>
      </c>
      <c r="N157" s="41">
        <f>SUM('Nov 25'!F158)</f>
        <v>16.145</v>
      </c>
      <c r="O157" s="41">
        <f>SUM('Dic 25'!F158)</f>
        <v>16.672000000000001</v>
      </c>
    </row>
    <row r="158" spans="2:15" x14ac:dyDescent="0.45">
      <c r="B158" s="46" t="s">
        <v>10</v>
      </c>
      <c r="C158" s="46">
        <v>501</v>
      </c>
      <c r="D158" s="41">
        <f>'Ene 25'!F159</f>
        <v>11.99</v>
      </c>
      <c r="E158" s="41">
        <f>'Feb 25'!F159</f>
        <v>18.64</v>
      </c>
      <c r="F158" s="41">
        <f>SUM('Mar 25'!F159)</f>
        <v>99.68</v>
      </c>
      <c r="G158" s="41">
        <f>SUM('Abr 25'!F159)</f>
        <v>17.997</v>
      </c>
      <c r="H158" s="41">
        <f>SUM('May 25'!F159)</f>
        <v>31.403000000000002</v>
      </c>
      <c r="I158" s="41">
        <f>SUM('Jun 25'!F159)</f>
        <v>30.94</v>
      </c>
      <c r="J158" s="41">
        <f>SUM('Jul 25'!F159)</f>
        <v>31.155000000000001</v>
      </c>
      <c r="K158" s="41">
        <f>SUM('Ago 25'!F159)</f>
        <v>31.495000000000001</v>
      </c>
      <c r="L158" s="41">
        <f>SUM('Sep 25'!F159)</f>
        <v>13.027000000000001</v>
      </c>
      <c r="M158" s="41">
        <f>SUM('Oct 25'!F159)</f>
        <v>13.027000000000001</v>
      </c>
      <c r="N158" s="41">
        <f>SUM('Nov 25'!F159)</f>
        <v>1.4490000000000001</v>
      </c>
      <c r="O158" s="41">
        <f>SUM('Dic 25'!F159)</f>
        <v>16.03</v>
      </c>
    </row>
    <row r="159" spans="2:15" x14ac:dyDescent="0.45">
      <c r="B159" s="46" t="s">
        <v>10</v>
      </c>
      <c r="C159" s="46">
        <v>502</v>
      </c>
      <c r="D159" s="41">
        <f>'Ene 25'!F160</f>
        <v>16.827000000000002</v>
      </c>
      <c r="E159" s="41">
        <f>'Feb 25'!F160</f>
        <v>22.997</v>
      </c>
      <c r="F159" s="41">
        <f>SUM('Mar 25'!F160)</f>
        <v>23.818999999999999</v>
      </c>
      <c r="G159" s="41">
        <f>SUM('Abr 25'!F160)</f>
        <v>21.827999999999999</v>
      </c>
      <c r="H159" s="41">
        <f>SUM('May 25'!F160)</f>
        <v>17.074000000000002</v>
      </c>
      <c r="I159" s="41">
        <f>SUM('Jun 25'!F160)</f>
        <v>18.66</v>
      </c>
      <c r="J159" s="41">
        <f>SUM('Jul 25'!F160)</f>
        <v>16.991</v>
      </c>
      <c r="K159" s="41">
        <f>SUM('Ago 25'!F160)</f>
        <v>15.775</v>
      </c>
      <c r="L159" s="41">
        <f>SUM('Sep 25'!F160)</f>
        <v>17.748000000000001</v>
      </c>
      <c r="M159" s="41">
        <f>SUM('Oct 25'!F160)</f>
        <v>17.748000000000001</v>
      </c>
      <c r="N159" s="41">
        <f>SUM('Nov 25'!F160)</f>
        <v>16.064</v>
      </c>
      <c r="O159" s="41">
        <f>SUM('Dic 25'!F160)</f>
        <v>15.335000000000001</v>
      </c>
    </row>
    <row r="160" spans="2:15" x14ac:dyDescent="0.45">
      <c r="B160" s="46" t="s">
        <v>10</v>
      </c>
      <c r="C160" s="46">
        <v>503</v>
      </c>
      <c r="D160" s="41">
        <f>'Ene 25'!F161</f>
        <v>12.628</v>
      </c>
      <c r="E160" s="41">
        <f>'Feb 25'!F161</f>
        <v>36.082000000000001</v>
      </c>
      <c r="F160" s="41">
        <f>SUM('Mar 25'!F161)</f>
        <v>12.762</v>
      </c>
      <c r="G160" s="41">
        <f>SUM('Abr 25'!F161)</f>
        <v>14.34</v>
      </c>
      <c r="H160" s="41">
        <f>SUM('May 25'!F161)</f>
        <v>15.102</v>
      </c>
      <c r="I160" s="41">
        <f>SUM('Jun 25'!F161)</f>
        <v>11.363</v>
      </c>
      <c r="J160" s="41">
        <f>SUM('Jul 25'!F161)</f>
        <v>16.193999999999999</v>
      </c>
      <c r="K160" s="41">
        <f>SUM('Ago 25'!F161)</f>
        <v>16.652999999999999</v>
      </c>
      <c r="L160" s="41">
        <f>SUM('Sep 25'!F161)</f>
        <v>13.752000000000001</v>
      </c>
      <c r="M160" s="41">
        <f>SUM('Oct 25'!F161)</f>
        <v>13.752000000000001</v>
      </c>
      <c r="N160" s="41">
        <f>SUM('Nov 25'!F161)</f>
        <v>13.638</v>
      </c>
      <c r="O160" s="41">
        <f>SUM('Dic 25'!F161)</f>
        <v>17.844999999999999</v>
      </c>
    </row>
    <row r="161" spans="2:15" x14ac:dyDescent="0.45">
      <c r="B161" s="46" t="s">
        <v>10</v>
      </c>
      <c r="C161" s="46">
        <v>504</v>
      </c>
      <c r="D161" s="41">
        <f>'Ene 25'!F162</f>
        <v>31.815999999999999</v>
      </c>
      <c r="E161" s="41">
        <f>'Feb 25'!F162</f>
        <v>30.407</v>
      </c>
      <c r="F161" s="41">
        <f>SUM('Mar 25'!F162)</f>
        <v>31.003</v>
      </c>
      <c r="G161" s="41">
        <f>SUM('Abr 25'!F162)</f>
        <v>34.643999999999998</v>
      </c>
      <c r="H161" s="41">
        <f>SUM('May 25'!F162)</f>
        <v>30.477</v>
      </c>
      <c r="I161" s="41">
        <f>SUM('Jun 25'!F162)</f>
        <v>22.934999999999999</v>
      </c>
      <c r="J161" s="41">
        <f>SUM('Jul 25'!F162)</f>
        <v>20.21</v>
      </c>
      <c r="K161" s="41">
        <f>SUM('Ago 25'!F162)</f>
        <v>0.36</v>
      </c>
      <c r="L161" s="41">
        <f>SUM('Sep 25'!F162)</f>
        <v>-1E-3</v>
      </c>
      <c r="M161" s="41">
        <f>SUM('Oct 25'!F162)</f>
        <v>-1E-3</v>
      </c>
      <c r="N161" s="41">
        <f>SUM('Nov 25'!F162)</f>
        <v>2.3810000000000002</v>
      </c>
      <c r="O161" s="41">
        <f>SUM('Dic 25'!F162)</f>
        <v>2.97</v>
      </c>
    </row>
    <row r="162" spans="2:15" x14ac:dyDescent="0.45">
      <c r="B162" s="46" t="s">
        <v>11</v>
      </c>
      <c r="C162" s="46">
        <v>101</v>
      </c>
      <c r="D162" s="41">
        <f>'Ene 25'!F163</f>
        <v>23.312000000000001</v>
      </c>
      <c r="E162" s="41">
        <f>'Feb 25'!F163</f>
        <v>17.463999999999999</v>
      </c>
      <c r="F162" s="41">
        <f>SUM('Mar 25'!F163)</f>
        <v>16.722999999999999</v>
      </c>
      <c r="G162" s="41">
        <f>SUM('Abr 25'!F163)</f>
        <v>22.385999999999999</v>
      </c>
      <c r="H162" s="41">
        <f>SUM('May 25'!F163)</f>
        <v>13.870000000000001</v>
      </c>
      <c r="I162" s="41">
        <f>SUM('Jun 25'!F163)</f>
        <v>14.682</v>
      </c>
      <c r="J162" s="41">
        <f>SUM('Jul 25'!F163)</f>
        <v>18.815000000000001</v>
      </c>
      <c r="K162" s="41">
        <f>SUM('Ago 25'!F163)</f>
        <v>16.213000000000001</v>
      </c>
      <c r="L162" s="41">
        <f>SUM('Sep 25'!F163)</f>
        <v>15.093</v>
      </c>
      <c r="M162" s="41">
        <f>SUM('Oct 25'!F163)</f>
        <v>15.093</v>
      </c>
      <c r="N162" s="41">
        <f>SUM('Nov 25'!F163)</f>
        <v>25.291</v>
      </c>
      <c r="O162" s="41">
        <f>SUM('Dic 25'!F163)</f>
        <v>24.064</v>
      </c>
    </row>
    <row r="163" spans="2:15" x14ac:dyDescent="0.45">
      <c r="B163" s="46" t="s">
        <v>11</v>
      </c>
      <c r="C163" s="46">
        <v>102</v>
      </c>
      <c r="D163" s="41">
        <f>'Ene 25'!F164</f>
        <v>27.771000000000001</v>
      </c>
      <c r="E163" s="41">
        <f>'Feb 25'!F164</f>
        <v>26.472999999999999</v>
      </c>
      <c r="F163" s="41">
        <f>SUM('Mar 25'!F164)</f>
        <v>25.977</v>
      </c>
      <c r="G163" s="41">
        <f>SUM('Abr 25'!F164)</f>
        <v>32.539000000000001</v>
      </c>
      <c r="H163" s="41">
        <f>SUM('May 25'!F164)</f>
        <v>24.239000000000001</v>
      </c>
      <c r="I163" s="41">
        <f>SUM('Jun 25'!F164)</f>
        <v>27.542000000000002</v>
      </c>
      <c r="J163" s="41">
        <f>SUM('Jul 25'!F164)</f>
        <v>22.661999999999999</v>
      </c>
      <c r="K163" s="41">
        <f>SUM('Ago 25'!F164)</f>
        <v>22.942</v>
      </c>
      <c r="L163" s="41">
        <f>SUM('Sep 25'!F164)</f>
        <v>26.335000000000001</v>
      </c>
      <c r="M163" s="41">
        <f>SUM('Oct 25'!F164)</f>
        <v>26.335000000000001</v>
      </c>
      <c r="N163" s="41">
        <f>SUM('Nov 25'!F164)</f>
        <v>31.626000000000001</v>
      </c>
      <c r="O163" s="41">
        <f>SUM('Dic 25'!F164)</f>
        <v>29.411000000000001</v>
      </c>
    </row>
    <row r="164" spans="2:15" x14ac:dyDescent="0.45">
      <c r="B164" s="46" t="s">
        <v>11</v>
      </c>
      <c r="C164" s="46">
        <v>103</v>
      </c>
      <c r="D164" s="41">
        <f>'Ene 25'!F165</f>
        <v>8.9390000000000001</v>
      </c>
      <c r="E164" s="41">
        <f>'Feb 25'!F165</f>
        <v>6.3870000000000005</v>
      </c>
      <c r="F164" s="41">
        <f>SUM('Mar 25'!F165)</f>
        <v>5.726</v>
      </c>
      <c r="G164" s="41">
        <f>SUM('Abr 25'!F165)</f>
        <v>5.7450000000000001</v>
      </c>
      <c r="H164" s="41">
        <f>SUM('May 25'!F165)</f>
        <v>8.4209999999999994</v>
      </c>
      <c r="I164" s="41">
        <f>SUM('Jun 25'!F165)</f>
        <v>6.0680000000000005</v>
      </c>
      <c r="J164" s="41">
        <f>SUM('Jul 25'!F165)</f>
        <v>8.4450000000000003</v>
      </c>
      <c r="K164" s="41">
        <f>SUM('Ago 25'!F165)</f>
        <v>7.9480000000000004</v>
      </c>
      <c r="L164" s="41">
        <f>SUM('Sep 25'!F165)</f>
        <v>10.491</v>
      </c>
      <c r="M164" s="41">
        <f>SUM('Oct 25'!F165)</f>
        <v>10.491</v>
      </c>
      <c r="N164" s="41">
        <f>SUM('Nov 25'!F165)</f>
        <v>12.112</v>
      </c>
      <c r="O164" s="41">
        <f>SUM('Dic 25'!F165)</f>
        <v>7.6020000000000003</v>
      </c>
    </row>
    <row r="165" spans="2:15" x14ac:dyDescent="0.45">
      <c r="B165" s="46" t="s">
        <v>11</v>
      </c>
      <c r="C165" s="46">
        <v>104</v>
      </c>
      <c r="D165" s="41">
        <f>'Ene 25'!F166</f>
        <v>31.581</v>
      </c>
      <c r="E165" s="41">
        <f>'Feb 25'!F166</f>
        <v>35.006</v>
      </c>
      <c r="F165" s="41">
        <f>SUM('Mar 25'!F166)</f>
        <v>25.439</v>
      </c>
      <c r="G165" s="41">
        <f>SUM('Abr 25'!F166)</f>
        <v>35.268000000000001</v>
      </c>
      <c r="H165" s="41">
        <f>SUM('May 25'!F166)</f>
        <v>26.678000000000001</v>
      </c>
      <c r="I165" s="41">
        <f>SUM('Jun 25'!F166)</f>
        <v>32.006999999999998</v>
      </c>
      <c r="J165" s="41">
        <f>SUM('Jul 25'!F166)</f>
        <v>38.558</v>
      </c>
      <c r="K165" s="41">
        <f>SUM('Ago 25'!F166)</f>
        <v>34.805999999999997</v>
      </c>
      <c r="L165" s="41">
        <f>SUM('Sep 25'!F166)</f>
        <v>25.058</v>
      </c>
      <c r="M165" s="41">
        <f>SUM('Oct 25'!F166)</f>
        <v>25.058</v>
      </c>
      <c r="N165" s="41">
        <f>SUM('Nov 25'!F166)</f>
        <v>33.427999999999997</v>
      </c>
      <c r="O165" s="41">
        <f>SUM('Dic 25'!F166)</f>
        <v>34.444000000000003</v>
      </c>
    </row>
    <row r="166" spans="2:15" x14ac:dyDescent="0.45">
      <c r="B166" s="46" t="s">
        <v>11</v>
      </c>
      <c r="C166" s="46">
        <v>201</v>
      </c>
      <c r="D166" s="41">
        <f>'Ene 25'!F167</f>
        <v>14.367000000000001</v>
      </c>
      <c r="E166" s="41">
        <f>'Feb 25'!F167</f>
        <v>11.131</v>
      </c>
      <c r="F166" s="41">
        <f>SUM('Mar 25'!F167)</f>
        <v>11.053000000000001</v>
      </c>
      <c r="G166" s="41">
        <f>SUM('Abr 25'!F167)</f>
        <v>19.280999999999999</v>
      </c>
      <c r="H166" s="41">
        <f>SUM('May 25'!F167)</f>
        <v>16.757000000000001</v>
      </c>
      <c r="I166" s="41">
        <f>SUM('Jun 25'!F167)</f>
        <v>19.760999999999999</v>
      </c>
      <c r="J166" s="41">
        <f>SUM('Jul 25'!F167)</f>
        <v>17.411000000000001</v>
      </c>
      <c r="K166" s="41">
        <f>SUM('Ago 25'!F167)</f>
        <v>16.445</v>
      </c>
      <c r="L166" s="41">
        <f>SUM('Sep 25'!F167)</f>
        <v>20.219000000000001</v>
      </c>
      <c r="M166" s="41">
        <f>SUM('Oct 25'!F167)</f>
        <v>20.219000000000001</v>
      </c>
      <c r="N166" s="41">
        <f>SUM('Nov 25'!F167)</f>
        <v>19.896000000000001</v>
      </c>
      <c r="O166" s="41">
        <f>SUM('Dic 25'!F167)</f>
        <v>17.538</v>
      </c>
    </row>
    <row r="167" spans="2:15" x14ac:dyDescent="0.45">
      <c r="B167" s="46" t="s">
        <v>11</v>
      </c>
      <c r="C167" s="46">
        <v>202</v>
      </c>
      <c r="D167" s="41">
        <f>'Ene 25'!F168</f>
        <v>17.928000000000001</v>
      </c>
      <c r="E167" s="41">
        <f>'Feb 25'!F168</f>
        <v>26.02</v>
      </c>
      <c r="F167" s="41">
        <f>SUM('Mar 25'!F168)</f>
        <v>33.097000000000001</v>
      </c>
      <c r="G167" s="41">
        <f>SUM('Abr 25'!F168)</f>
        <v>28.849</v>
      </c>
      <c r="H167" s="41">
        <f>SUM('May 25'!F168)</f>
        <v>22.073</v>
      </c>
      <c r="I167" s="41">
        <f>SUM('Jun 25'!F168)</f>
        <v>20.965</v>
      </c>
      <c r="J167" s="41">
        <f>SUM('Jul 25'!F168)</f>
        <v>22.398</v>
      </c>
      <c r="K167" s="41">
        <f>SUM('Ago 25'!F168)</f>
        <v>19.437999999999999</v>
      </c>
      <c r="L167" s="41">
        <f>SUM('Sep 25'!F168)</f>
        <v>28.728000000000002</v>
      </c>
      <c r="M167" s="41">
        <f>SUM('Oct 25'!F168)</f>
        <v>28.728000000000002</v>
      </c>
      <c r="N167" s="41">
        <f>SUM('Nov 25'!F168)</f>
        <v>22.448</v>
      </c>
      <c r="O167" s="41">
        <f>SUM('Dic 25'!F168)</f>
        <v>23.317</v>
      </c>
    </row>
    <row r="168" spans="2:15" x14ac:dyDescent="0.45">
      <c r="B168" s="46" t="s">
        <v>11</v>
      </c>
      <c r="C168" s="46">
        <v>203</v>
      </c>
      <c r="D168" s="41">
        <f>'Ene 25'!F169</f>
        <v>10.024000000000001</v>
      </c>
      <c r="E168" s="41">
        <f>'Feb 25'!F169</f>
        <v>14.325000000000001</v>
      </c>
      <c r="F168" s="41">
        <f>SUM('Mar 25'!F169)</f>
        <v>8.9340000000000011</v>
      </c>
      <c r="G168" s="41">
        <f>SUM('Abr 25'!F169)</f>
        <v>11.397</v>
      </c>
      <c r="H168" s="41">
        <f>SUM('May 25'!F169)</f>
        <v>11.473000000000001</v>
      </c>
      <c r="I168" s="41">
        <f>SUM('Jun 25'!F169)</f>
        <v>22.757000000000001</v>
      </c>
      <c r="J168" s="41">
        <f>SUM('Jul 25'!F169)</f>
        <v>12.632</v>
      </c>
      <c r="K168" s="41">
        <f>SUM('Ago 25'!F169)</f>
        <v>21.451000000000001</v>
      </c>
      <c r="L168" s="41">
        <f>SUM('Sep 25'!F169)</f>
        <v>21.715</v>
      </c>
      <c r="M168" s="41">
        <f>SUM('Oct 25'!F169)</f>
        <v>21.715</v>
      </c>
      <c r="N168" s="41">
        <f>SUM('Nov 25'!F169)</f>
        <v>14.671000000000001</v>
      </c>
      <c r="O168" s="41">
        <f>SUM('Dic 25'!F169)</f>
        <v>13.037000000000001</v>
      </c>
    </row>
    <row r="169" spans="2:15" x14ac:dyDescent="0.45">
      <c r="B169" s="46" t="s">
        <v>11</v>
      </c>
      <c r="C169" s="46">
        <v>204</v>
      </c>
      <c r="D169" s="41">
        <f>'Ene 25'!F170</f>
        <v>15.917</v>
      </c>
      <c r="E169" s="41">
        <f>'Feb 25'!F170</f>
        <v>15.075000000000001</v>
      </c>
      <c r="F169" s="41">
        <f>SUM('Mar 25'!F170)</f>
        <v>12.551</v>
      </c>
      <c r="G169" s="41">
        <f>SUM('Abr 25'!F170)</f>
        <v>13.772</v>
      </c>
      <c r="H169" s="41">
        <f>SUM('May 25'!F170)</f>
        <v>12.702999999999999</v>
      </c>
      <c r="I169" s="41">
        <f>SUM('Jun 25'!F170)</f>
        <v>12.785</v>
      </c>
      <c r="J169" s="41">
        <f>SUM('Jul 25'!F170)</f>
        <v>23.776</v>
      </c>
      <c r="K169" s="41">
        <f>SUM('Ago 25'!F170)</f>
        <v>24.244</v>
      </c>
      <c r="L169" s="41">
        <f>SUM('Sep 25'!F170)</f>
        <v>14.507</v>
      </c>
      <c r="M169" s="41">
        <f>SUM('Oct 25'!F170)</f>
        <v>14.507</v>
      </c>
      <c r="N169" s="41">
        <f>SUM('Nov 25'!F170)</f>
        <v>12.269</v>
      </c>
      <c r="O169" s="41">
        <f>SUM('Dic 25'!F170)</f>
        <v>16.469000000000001</v>
      </c>
    </row>
    <row r="170" spans="2:15" x14ac:dyDescent="0.45">
      <c r="B170" s="46" t="s">
        <v>11</v>
      </c>
      <c r="C170" s="46">
        <v>301</v>
      </c>
      <c r="D170" s="41">
        <f>'Ene 25'!F171</f>
        <v>12.81</v>
      </c>
      <c r="E170" s="41">
        <f>'Feb 25'!F171</f>
        <v>15.375</v>
      </c>
      <c r="F170" s="41">
        <f>SUM('Mar 25'!F171)</f>
        <v>11.116</v>
      </c>
      <c r="G170" s="41">
        <f>SUM('Abr 25'!F171)</f>
        <v>14.813000000000001</v>
      </c>
      <c r="H170" s="41">
        <f>SUM('May 25'!F171)</f>
        <v>11.117000000000001</v>
      </c>
      <c r="I170" s="41">
        <f>SUM('Jun 25'!F171)</f>
        <v>12.457000000000001</v>
      </c>
      <c r="J170" s="41">
        <f>SUM('Jul 25'!F171)</f>
        <v>13.217000000000001</v>
      </c>
      <c r="K170" s="41">
        <f>SUM('Ago 25'!F171)</f>
        <v>12.341000000000001</v>
      </c>
      <c r="L170" s="41">
        <f>SUM('Sep 25'!F171)</f>
        <v>15.259</v>
      </c>
      <c r="M170" s="41">
        <f>SUM('Oct 25'!F171)</f>
        <v>15.259</v>
      </c>
      <c r="N170" s="41">
        <f>SUM('Nov 25'!F171)</f>
        <v>11.44</v>
      </c>
      <c r="O170" s="41">
        <f>SUM('Dic 25'!F171)</f>
        <v>11.778</v>
      </c>
    </row>
    <row r="171" spans="2:15" x14ac:dyDescent="0.45">
      <c r="B171" s="46" t="s">
        <v>11</v>
      </c>
      <c r="C171" s="46">
        <v>302</v>
      </c>
      <c r="D171" s="41">
        <f>'Ene 25'!F172</f>
        <v>11.673999999999999</v>
      </c>
      <c r="E171" s="41">
        <f>'Feb 25'!F172</f>
        <v>14.718</v>
      </c>
      <c r="F171" s="41">
        <f>SUM('Mar 25'!F172)</f>
        <v>11.53</v>
      </c>
      <c r="G171" s="41">
        <f>SUM('Abr 25'!F172)</f>
        <v>11.987</v>
      </c>
      <c r="H171" s="41">
        <f>SUM('May 25'!F172)</f>
        <v>14.417</v>
      </c>
      <c r="I171" s="41">
        <f>SUM('Jun 25'!F172)</f>
        <v>10.426</v>
      </c>
      <c r="J171" s="41">
        <f>SUM('Jul 25'!F172)</f>
        <v>10.495000000000001</v>
      </c>
      <c r="K171" s="41">
        <f>SUM('Ago 25'!F172)</f>
        <v>11.455</v>
      </c>
      <c r="L171" s="41">
        <f>SUM('Sep 25'!F172)</f>
        <v>11.824</v>
      </c>
      <c r="M171" s="41">
        <f>SUM('Oct 25'!F172)</f>
        <v>11.824</v>
      </c>
      <c r="N171" s="41">
        <f>SUM('Nov 25'!F172)</f>
        <v>12.042</v>
      </c>
      <c r="O171" s="41">
        <f>SUM('Dic 25'!F172)</f>
        <v>12.226000000000001</v>
      </c>
    </row>
    <row r="172" spans="2:15" x14ac:dyDescent="0.45">
      <c r="B172" s="46" t="s">
        <v>11</v>
      </c>
      <c r="C172" s="46">
        <v>303</v>
      </c>
      <c r="D172" s="41">
        <f>'Ene 25'!F173</f>
        <v>12.647</v>
      </c>
      <c r="E172" s="41">
        <f>'Feb 25'!F173</f>
        <v>9.891</v>
      </c>
      <c r="F172" s="41">
        <f>SUM('Mar 25'!F173)</f>
        <v>6.7839999999999998</v>
      </c>
      <c r="G172" s="41">
        <f>SUM('Abr 25'!F173)</f>
        <v>16.855</v>
      </c>
      <c r="H172" s="41">
        <f>SUM('May 25'!F173)</f>
        <v>13.145</v>
      </c>
      <c r="I172" s="41">
        <f>SUM('Jun 25'!F173)</f>
        <v>15.675000000000001</v>
      </c>
      <c r="J172" s="41">
        <f>SUM('Jul 25'!F173)</f>
        <v>14.565</v>
      </c>
      <c r="K172" s="41">
        <f>SUM('Ago 25'!F173)</f>
        <v>14.116</v>
      </c>
      <c r="L172" s="41">
        <f>SUM('Sep 25'!F173)</f>
        <v>16.138999999999999</v>
      </c>
      <c r="M172" s="41">
        <f>SUM('Oct 25'!F173)</f>
        <v>16.138999999999999</v>
      </c>
      <c r="N172" s="41">
        <f>SUM('Nov 25'!F173)</f>
        <v>14.962</v>
      </c>
      <c r="O172" s="41">
        <f>SUM('Dic 25'!F173)</f>
        <v>16.288</v>
      </c>
    </row>
    <row r="173" spans="2:15" x14ac:dyDescent="0.45">
      <c r="B173" s="46" t="s">
        <v>11</v>
      </c>
      <c r="C173" s="46">
        <v>304</v>
      </c>
      <c r="D173" s="41">
        <f>'Ene 25'!F174</f>
        <v>27.013000000000002</v>
      </c>
      <c r="E173" s="41">
        <f>'Feb 25'!F174</f>
        <v>35.975999999999999</v>
      </c>
      <c r="F173" s="41">
        <f>SUM('Mar 25'!F174)</f>
        <v>18.923999999999999</v>
      </c>
      <c r="G173" s="41">
        <f>SUM('Abr 25'!F174)</f>
        <v>24.289000000000001</v>
      </c>
      <c r="H173" s="41">
        <f>SUM('May 25'!F174)</f>
        <v>25.815000000000001</v>
      </c>
      <c r="I173" s="41">
        <f>SUM('Jun 25'!F174)</f>
        <v>25.614000000000001</v>
      </c>
      <c r="J173" s="41">
        <f>SUM('Jul 25'!F174)</f>
        <v>12.262</v>
      </c>
      <c r="K173" s="41">
        <f>SUM('Ago 25'!F174)</f>
        <v>50.77</v>
      </c>
      <c r="L173" s="41">
        <f>SUM('Sep 25'!F174)</f>
        <v>0.77800000000000002</v>
      </c>
      <c r="M173" s="41">
        <f>SUM('Oct 25'!F174)</f>
        <v>0.77800000000000002</v>
      </c>
      <c r="N173" s="41">
        <f>SUM('Nov 25'!F174)</f>
        <v>5.0540000000000003</v>
      </c>
      <c r="O173" s="41">
        <f>SUM('Dic 25'!F174)</f>
        <v>5.4450000000000003</v>
      </c>
    </row>
    <row r="174" spans="2:15" x14ac:dyDescent="0.45">
      <c r="B174" s="46" t="s">
        <v>11</v>
      </c>
      <c r="C174" s="46">
        <v>401</v>
      </c>
      <c r="D174" s="41">
        <f>'Ene 25'!F175</f>
        <v>9.0080000000000009</v>
      </c>
      <c r="E174" s="41">
        <f>'Feb 25'!F175</f>
        <v>8.697000000000001</v>
      </c>
      <c r="F174" s="41">
        <f>SUM('Mar 25'!F175)</f>
        <v>2.9820000000000002</v>
      </c>
      <c r="G174" s="41">
        <f>SUM('Abr 25'!F175)</f>
        <v>0.75900000000000001</v>
      </c>
      <c r="H174" s="41">
        <f>SUM('May 25'!F175)</f>
        <v>0</v>
      </c>
      <c r="I174" s="41">
        <f>SUM('Jun 25'!F175)</f>
        <v>0</v>
      </c>
      <c r="J174" s="41">
        <f>SUM('Jul 25'!F175)</f>
        <v>0</v>
      </c>
      <c r="K174" s="41">
        <f>SUM('Ago 25'!F175)</f>
        <v>0</v>
      </c>
      <c r="L174" s="41">
        <f>SUM('Sep 25'!F175)</f>
        <v>0</v>
      </c>
      <c r="M174" s="41">
        <f>SUM('Oct 25'!F175)</f>
        <v>0</v>
      </c>
      <c r="N174" s="41">
        <f>SUM('Nov 25'!F175)</f>
        <v>0</v>
      </c>
      <c r="O174" s="41">
        <f>SUM('Dic 25'!F175)</f>
        <v>0</v>
      </c>
    </row>
    <row r="175" spans="2:15" x14ac:dyDescent="0.45">
      <c r="B175" s="46" t="s">
        <v>11</v>
      </c>
      <c r="C175" s="46">
        <v>402</v>
      </c>
      <c r="D175" s="41">
        <f>'Ene 25'!F176</f>
        <v>8.4220000000000006</v>
      </c>
      <c r="E175" s="41">
        <f>'Feb 25'!F176</f>
        <v>10.116</v>
      </c>
      <c r="F175" s="41">
        <f>SUM('Mar 25'!F176)</f>
        <v>8.3930000000000007</v>
      </c>
      <c r="G175" s="41">
        <f>SUM('Abr 25'!F176)</f>
        <v>9.6010000000000009</v>
      </c>
      <c r="H175" s="41">
        <f>SUM('May 25'!F176)</f>
        <v>8.0370000000000008</v>
      </c>
      <c r="I175" s="41">
        <f>SUM('Jun 25'!F176)</f>
        <v>8.0640000000000001</v>
      </c>
      <c r="J175" s="41">
        <f>SUM('Jul 25'!F176)</f>
        <v>8.2829999999999995</v>
      </c>
      <c r="K175" s="41">
        <f>SUM('Ago 25'!F176)</f>
        <v>9.8060000000000009</v>
      </c>
      <c r="L175" s="41">
        <f>SUM('Sep 25'!F176)</f>
        <v>9.5850000000000009</v>
      </c>
      <c r="M175" s="41">
        <f>SUM('Oct 25'!F176)</f>
        <v>9.5850000000000009</v>
      </c>
      <c r="N175" s="41">
        <f>SUM('Nov 25'!F176)</f>
        <v>7.1859999999999999</v>
      </c>
      <c r="O175" s="41">
        <f>SUM('Dic 25'!F176)</f>
        <v>9.0069999999999997</v>
      </c>
    </row>
    <row r="176" spans="2:15" x14ac:dyDescent="0.45">
      <c r="B176" s="46" t="s">
        <v>11</v>
      </c>
      <c r="C176" s="46">
        <v>403</v>
      </c>
      <c r="D176" s="41">
        <f>'Ene 25'!F177</f>
        <v>17.199000000000002</v>
      </c>
      <c r="E176" s="41">
        <f>'Feb 25'!F177</f>
        <v>17.315999999999999</v>
      </c>
      <c r="F176" s="41">
        <f>SUM('Mar 25'!F177)</f>
        <v>16.713999999999999</v>
      </c>
      <c r="G176" s="41">
        <f>SUM('Abr 25'!F177)</f>
        <v>18.355</v>
      </c>
      <c r="H176" s="41">
        <f>SUM('May 25'!F177)</f>
        <v>16.190000000000001</v>
      </c>
      <c r="I176" s="41">
        <f>SUM('Jun 25'!F177)</f>
        <v>16.367000000000001</v>
      </c>
      <c r="J176" s="41">
        <f>SUM('Jul 25'!F177)</f>
        <v>16.205000000000002</v>
      </c>
      <c r="K176" s="41">
        <f>SUM('Ago 25'!F177)</f>
        <v>16.675000000000001</v>
      </c>
      <c r="L176" s="41">
        <f>SUM('Sep 25'!F177)</f>
        <v>13.255000000000001</v>
      </c>
      <c r="M176" s="41">
        <f>SUM('Oct 25'!F177)</f>
        <v>13.255000000000001</v>
      </c>
      <c r="N176" s="41">
        <f>SUM('Nov 25'!F177)</f>
        <v>13.756</v>
      </c>
      <c r="O176" s="41">
        <f>SUM('Dic 25'!F177)</f>
        <v>13.646000000000001</v>
      </c>
    </row>
    <row r="177" spans="2:15" x14ac:dyDescent="0.45">
      <c r="B177" s="46" t="s">
        <v>11</v>
      </c>
      <c r="C177" s="46">
        <v>404</v>
      </c>
      <c r="D177" s="41">
        <f>'Ene 25'!F178</f>
        <v>8.9090000000000007</v>
      </c>
      <c r="E177" s="41">
        <f>'Feb 25'!F178</f>
        <v>2.085</v>
      </c>
      <c r="F177" s="41">
        <f>SUM('Mar 25'!F178)</f>
        <v>11.077999999999999</v>
      </c>
      <c r="G177" s="41">
        <f>SUM('Abr 25'!F178)</f>
        <v>16.734000000000002</v>
      </c>
      <c r="H177" s="41">
        <f>SUM('May 25'!F178)</f>
        <v>9.8250000000000011</v>
      </c>
      <c r="I177" s="41">
        <f>SUM('Jun 25'!F178)</f>
        <v>14.129</v>
      </c>
      <c r="J177" s="41">
        <f>SUM('Jul 25'!F178)</f>
        <v>14.529</v>
      </c>
      <c r="K177" s="41">
        <f>SUM('Ago 25'!F178)</f>
        <v>14.359</v>
      </c>
      <c r="L177" s="41">
        <f>SUM('Sep 25'!F178)</f>
        <v>21.699000000000002</v>
      </c>
      <c r="M177" s="41">
        <f>SUM('Oct 25'!F178)</f>
        <v>21.699000000000002</v>
      </c>
      <c r="N177" s="41">
        <f>SUM('Nov 25'!F178)</f>
        <v>21.789000000000001</v>
      </c>
      <c r="O177" s="41">
        <f>SUM('Dic 25'!F178)</f>
        <v>16.926000000000002</v>
      </c>
    </row>
    <row r="178" spans="2:15" x14ac:dyDescent="0.45">
      <c r="B178" s="46" t="s">
        <v>11</v>
      </c>
      <c r="C178" s="46">
        <v>501</v>
      </c>
      <c r="D178" s="41">
        <f>'Ene 25'!F179</f>
        <v>25.013000000000002</v>
      </c>
      <c r="E178" s="41">
        <f>'Feb 25'!F179</f>
        <v>25.507999999999999</v>
      </c>
      <c r="F178" s="41">
        <f>SUM('Mar 25'!F179)</f>
        <v>23.187000000000001</v>
      </c>
      <c r="G178" s="41">
        <f>SUM('Abr 25'!F179)</f>
        <v>32.701000000000001</v>
      </c>
      <c r="H178" s="41">
        <f>SUM('May 25'!F179)</f>
        <v>58.856999999999999</v>
      </c>
      <c r="I178" s="41">
        <f>SUM('Jun 25'!F179)</f>
        <v>31.478999999999999</v>
      </c>
      <c r="J178" s="41">
        <f>SUM('Jul 25'!F179)</f>
        <v>29.619</v>
      </c>
      <c r="K178" s="41">
        <f>SUM('Ago 25'!F179)</f>
        <v>25.103999999999999</v>
      </c>
      <c r="L178" s="41">
        <f>SUM('Sep 25'!F179)</f>
        <v>26.152000000000001</v>
      </c>
      <c r="M178" s="41">
        <f>SUM('Oct 25'!F179)</f>
        <v>26.152000000000001</v>
      </c>
      <c r="N178" s="41">
        <f>SUM('Nov 25'!F179)</f>
        <v>31.679000000000002</v>
      </c>
      <c r="O178" s="41">
        <f>SUM('Dic 25'!F179)</f>
        <v>31.506</v>
      </c>
    </row>
    <row r="179" spans="2:15" x14ac:dyDescent="0.45">
      <c r="B179" s="46" t="s">
        <v>11</v>
      </c>
      <c r="C179" s="46">
        <v>502</v>
      </c>
      <c r="D179" s="41">
        <f>'Ene 25'!F180</f>
        <v>20.826000000000001</v>
      </c>
      <c r="E179" s="41">
        <f>'Feb 25'!F180</f>
        <v>15.008000000000001</v>
      </c>
      <c r="F179" s="41">
        <f>SUM('Mar 25'!F180)</f>
        <v>14.856</v>
      </c>
      <c r="G179" s="41">
        <f>SUM('Abr 25'!F180)</f>
        <v>18.228999999999999</v>
      </c>
      <c r="H179" s="41">
        <f>SUM('May 25'!F180)</f>
        <v>9.4060000000000006</v>
      </c>
      <c r="I179" s="41">
        <f>SUM('Jun 25'!F180)</f>
        <v>18.398</v>
      </c>
      <c r="J179" s="41">
        <f>SUM('Jul 25'!F180)</f>
        <v>18.596</v>
      </c>
      <c r="K179" s="41">
        <f>SUM('Ago 25'!F180)</f>
        <v>17.725999999999999</v>
      </c>
      <c r="L179" s="41">
        <f>SUM('Sep 25'!F180)</f>
        <v>14.422000000000001</v>
      </c>
      <c r="M179" s="41">
        <f>SUM('Oct 25'!F180)</f>
        <v>14.422000000000001</v>
      </c>
      <c r="N179" s="41">
        <f>SUM('Nov 25'!F180)</f>
        <v>24.532</v>
      </c>
      <c r="O179" s="41">
        <f>SUM('Dic 25'!F180)</f>
        <v>19.341000000000001</v>
      </c>
    </row>
    <row r="180" spans="2:15" x14ac:dyDescent="0.45">
      <c r="B180" s="46" t="s">
        <v>11</v>
      </c>
      <c r="C180" s="46">
        <v>503</v>
      </c>
      <c r="D180" s="41">
        <f>'Ene 25'!F181</f>
        <v>9.1210000000000004</v>
      </c>
      <c r="E180" s="41">
        <f>'Feb 25'!F181</f>
        <v>16.161000000000001</v>
      </c>
      <c r="F180" s="41">
        <f>SUM('Mar 25'!F181)</f>
        <v>20.454000000000001</v>
      </c>
      <c r="G180" s="41">
        <f>SUM('Abr 25'!F181)</f>
        <v>17.527000000000001</v>
      </c>
      <c r="H180" s="41">
        <f>SUM('May 25'!F181)</f>
        <v>15.375999999999999</v>
      </c>
      <c r="I180" s="41">
        <f>SUM('Jun 25'!F181)</f>
        <v>15.013</v>
      </c>
      <c r="J180" s="41">
        <f>SUM('Jul 25'!F181)</f>
        <v>15.114000000000001</v>
      </c>
      <c r="K180" s="41">
        <f>SUM('Ago 25'!F181)</f>
        <v>10.891</v>
      </c>
      <c r="L180" s="41">
        <f>SUM('Sep 25'!F181)</f>
        <v>15.73</v>
      </c>
      <c r="M180" s="41">
        <f>SUM('Oct 25'!F181)</f>
        <v>15.73</v>
      </c>
      <c r="N180" s="41">
        <f>SUM('Nov 25'!F181)</f>
        <v>18.568999999999999</v>
      </c>
      <c r="O180" s="41">
        <f>SUM('Dic 25'!F181)</f>
        <v>16.004999999999999</v>
      </c>
    </row>
    <row r="181" spans="2:15" x14ac:dyDescent="0.45">
      <c r="B181" s="46" t="s">
        <v>11</v>
      </c>
      <c r="C181" s="46">
        <v>504</v>
      </c>
      <c r="D181" s="41">
        <f>'Ene 25'!F182</f>
        <v>20.788</v>
      </c>
      <c r="E181" s="41">
        <f>'Feb 25'!F182</f>
        <v>21.559000000000001</v>
      </c>
      <c r="F181" s="41">
        <f>SUM('Mar 25'!F182)</f>
        <v>21.212</v>
      </c>
      <c r="G181" s="41">
        <f>SUM('Abr 25'!F182)</f>
        <v>26.850999999999999</v>
      </c>
      <c r="H181" s="41">
        <f>SUM('May 25'!F182)</f>
        <v>22.986000000000001</v>
      </c>
      <c r="I181" s="41">
        <f>SUM('Jun 25'!F182)</f>
        <v>32.274999999999999</v>
      </c>
      <c r="J181" s="41">
        <f>SUM('Jul 25'!F182)</f>
        <v>21.962</v>
      </c>
      <c r="K181" s="41">
        <f>SUM('Ago 25'!F182)</f>
        <v>25.306000000000001</v>
      </c>
      <c r="L181" s="41">
        <f>SUM('Sep 25'!F182)</f>
        <v>21.928000000000001</v>
      </c>
      <c r="M181" s="41">
        <f>SUM('Oct 25'!F182)</f>
        <v>21.928000000000001</v>
      </c>
      <c r="N181" s="41">
        <f>SUM('Nov 25'!F182)</f>
        <v>41.194000000000003</v>
      </c>
      <c r="O181" s="41">
        <f>SUM('Dic 25'!F182)</f>
        <v>23.333000000000002</v>
      </c>
    </row>
    <row r="182" spans="2:15" x14ac:dyDescent="0.45">
      <c r="B182" s="178" t="s">
        <v>296</v>
      </c>
      <c r="C182" s="46" t="s">
        <v>12</v>
      </c>
      <c r="D182" s="179">
        <f>SUM('Ene 25'!F194)</f>
        <v>0</v>
      </c>
      <c r="E182" s="179">
        <f>SUM('Feb 25'!F194)</f>
        <v>498.64700000000084</v>
      </c>
      <c r="F182" s="179">
        <f>SUM('Mar 25'!F194)</f>
        <v>735.88199999999733</v>
      </c>
      <c r="G182" s="179">
        <f>SUM('Abr 25'!F194)</f>
        <v>143.20199999999886</v>
      </c>
      <c r="H182" s="179">
        <f>SUM('May 25'!F194)</f>
        <v>1148.556</v>
      </c>
      <c r="I182" s="179">
        <f>SUM('Jun 25'!F194)</f>
        <v>805.47900000000027</v>
      </c>
      <c r="J182" s="179">
        <f>SUM('Jul 25'!F194)</f>
        <v>643.18700000000035</v>
      </c>
      <c r="K182" s="179">
        <f>SUM('Ago 25'!F194)</f>
        <v>605.39100000000008</v>
      </c>
      <c r="L182" s="179">
        <f>SUM('Sep 25'!F194)</f>
        <v>501.95599999999877</v>
      </c>
      <c r="M182" s="179">
        <f>SUM('Oct 25'!F194)</f>
        <v>336.95599999999877</v>
      </c>
      <c r="N182" s="179">
        <f>SUM('Nov 25'!F194)</f>
        <v>615.38799999999947</v>
      </c>
      <c r="O182" s="179">
        <f>SUM('Dic 25'!F194)</f>
        <v>489.65300000000161</v>
      </c>
    </row>
    <row r="184" spans="2:15" x14ac:dyDescent="0.45">
      <c r="D184" s="6" t="s">
        <v>73</v>
      </c>
      <c r="E184" s="6" t="s">
        <v>74</v>
      </c>
      <c r="F184" s="6" t="s">
        <v>75</v>
      </c>
      <c r="G184" s="6" t="s">
        <v>76</v>
      </c>
      <c r="H184" s="6" t="s">
        <v>77</v>
      </c>
      <c r="I184" s="6" t="s">
        <v>78</v>
      </c>
      <c r="J184" s="6" t="s">
        <v>79</v>
      </c>
      <c r="K184" s="6" t="s">
        <v>80</v>
      </c>
      <c r="L184" s="6" t="s">
        <v>282</v>
      </c>
    </row>
    <row r="185" spans="2:15" ht="54.75" customHeight="1" x14ac:dyDescent="0.45">
      <c r="D185" s="160">
        <f>SUM(D2:D183)</f>
        <v>2904.8660000000004</v>
      </c>
      <c r="E185" s="160">
        <f t="shared" ref="E185:J185" si="0">SUM(E2:E183)</f>
        <v>3511</v>
      </c>
      <c r="F185" s="160">
        <f t="shared" si="0"/>
        <v>3668</v>
      </c>
      <c r="G185" s="160">
        <f t="shared" si="0"/>
        <v>3426</v>
      </c>
      <c r="H185" s="160">
        <f t="shared" si="0"/>
        <v>4116</v>
      </c>
      <c r="I185" s="160">
        <f t="shared" si="0"/>
        <v>3718</v>
      </c>
      <c r="J185" s="160">
        <f t="shared" si="0"/>
        <v>3559</v>
      </c>
      <c r="K185" s="160">
        <f>SUM(K2:K183)</f>
        <v>3505</v>
      </c>
      <c r="L185" s="160">
        <f>SUM(L2:L183)</f>
        <v>3487</v>
      </c>
    </row>
    <row r="186" spans="2:15" x14ac:dyDescent="0.45"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</row>
    <row r="189" spans="2:15" x14ac:dyDescent="0.45"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</row>
  </sheetData>
  <phoneticPr fontId="53" type="noConversion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9DEDD-A2A8-4122-B033-66679CD092E7}">
  <dimension ref="C1:H18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5" sqref="E5"/>
    </sheetView>
  </sheetViews>
  <sheetFormatPr baseColWidth="10" defaultRowHeight="14.25" x14ac:dyDescent="0.45"/>
  <cols>
    <col min="3" max="3" width="2.59765625" bestFit="1" customWidth="1"/>
    <col min="4" max="4" width="3.73046875" bestFit="1" customWidth="1"/>
    <col min="5" max="5" width="8.6640625" bestFit="1" customWidth="1"/>
    <col min="6" max="6" width="8.19921875" style="244" bestFit="1" customWidth="1"/>
  </cols>
  <sheetData>
    <row r="1" spans="3:8" x14ac:dyDescent="0.45">
      <c r="E1" s="61">
        <f xml:space="preserve"> 290*180</f>
        <v>52200</v>
      </c>
    </row>
    <row r="2" spans="3:8" ht="42.75" customHeight="1" x14ac:dyDescent="0.45">
      <c r="C2" s="43" t="s">
        <v>0</v>
      </c>
      <c r="D2" s="44" t="s">
        <v>1</v>
      </c>
      <c r="E2" s="354" t="s">
        <v>343</v>
      </c>
      <c r="F2" s="354"/>
    </row>
    <row r="3" spans="3:8" x14ac:dyDescent="0.45">
      <c r="C3" s="5" t="s">
        <v>3</v>
      </c>
      <c r="D3" s="2">
        <v>101</v>
      </c>
      <c r="E3" s="30" cm="1">
        <f t="array" ref="E3">MMULT($E$1/100,F3)+22.58+20</f>
        <v>313.81119999999999</v>
      </c>
      <c r="F3" s="246">
        <v>0.51959999999999995</v>
      </c>
    </row>
    <row r="4" spans="3:8" x14ac:dyDescent="0.45">
      <c r="C4" s="5" t="s">
        <v>3</v>
      </c>
      <c r="D4" s="2">
        <v>102</v>
      </c>
      <c r="E4" s="30" cm="1">
        <f t="array" ref="E4">MMULT($E$1/100,F4)+22.58+20</f>
        <v>313.81119999999999</v>
      </c>
      <c r="F4" s="246">
        <v>0.51959999999999995</v>
      </c>
    </row>
    <row r="5" spans="3:8" x14ac:dyDescent="0.45">
      <c r="C5" s="5" t="s">
        <v>3</v>
      </c>
      <c r="D5" s="2">
        <v>103</v>
      </c>
      <c r="E5" s="30" cm="1">
        <f t="array" ref="E5">MMULT($E$1/100,F5)+22.58+20</f>
        <v>310.00059999999996</v>
      </c>
      <c r="F5" s="246">
        <v>0.51229999999999998</v>
      </c>
    </row>
    <row r="6" spans="3:8" x14ac:dyDescent="0.45">
      <c r="C6" s="5" t="s">
        <v>3</v>
      </c>
      <c r="D6" s="2">
        <v>104</v>
      </c>
      <c r="E6" s="30" cm="1">
        <f t="array" ref="E6">MMULT($E$1/100,F6)+22.58+20</f>
        <v>310.00059999999996</v>
      </c>
      <c r="F6" s="246">
        <v>0.51229999999999998</v>
      </c>
      <c r="H6" t="s">
        <v>12</v>
      </c>
    </row>
    <row r="7" spans="3:8" x14ac:dyDescent="0.45">
      <c r="C7" s="5" t="s">
        <v>3</v>
      </c>
      <c r="D7" s="2">
        <v>201</v>
      </c>
      <c r="E7" s="30" cm="1">
        <f t="array" ref="E7">MMULT($E$1/100,F7)+22.58+20</f>
        <v>323.25939999999997</v>
      </c>
      <c r="F7" s="246">
        <v>0.53769999999999996</v>
      </c>
    </row>
    <row r="8" spans="3:8" x14ac:dyDescent="0.45">
      <c r="C8" s="5" t="s">
        <v>3</v>
      </c>
      <c r="D8" s="2">
        <v>202</v>
      </c>
      <c r="E8" s="30" cm="1">
        <f t="array" ref="E8">MMULT($E$1/100,F8)+22.58+20</f>
        <v>323.25939999999997</v>
      </c>
      <c r="F8" s="246">
        <v>0.53769999999999996</v>
      </c>
    </row>
    <row r="9" spans="3:8" x14ac:dyDescent="0.45">
      <c r="C9" s="5" t="s">
        <v>3</v>
      </c>
      <c r="D9" s="2">
        <v>203</v>
      </c>
      <c r="E9" s="30" cm="1">
        <f t="array" ref="E9">MMULT($E$1/100,F9)+22.58+20</f>
        <v>319.44879999999995</v>
      </c>
      <c r="F9" s="246">
        <v>0.53039999999999998</v>
      </c>
    </row>
    <row r="10" spans="3:8" x14ac:dyDescent="0.45">
      <c r="C10" s="5" t="s">
        <v>3</v>
      </c>
      <c r="D10" s="2">
        <v>204</v>
      </c>
      <c r="E10" s="30" cm="1">
        <f t="array" ref="E10">MMULT($E$1/100,F10)+22.58+20</f>
        <v>319.44879999999995</v>
      </c>
      <c r="F10" s="246">
        <v>0.53039999999999998</v>
      </c>
    </row>
    <row r="11" spans="3:8" x14ac:dyDescent="0.45">
      <c r="C11" s="5" t="s">
        <v>3</v>
      </c>
      <c r="D11" s="2">
        <v>301</v>
      </c>
      <c r="E11" s="30" cm="1">
        <f t="array" ref="E11">MMULT($E$1/100,F11)+22.58+20</f>
        <v>323.25939999999997</v>
      </c>
      <c r="F11" s="246">
        <v>0.53769999999999996</v>
      </c>
    </row>
    <row r="12" spans="3:8" x14ac:dyDescent="0.45">
      <c r="C12" s="5" t="s">
        <v>3</v>
      </c>
      <c r="D12" s="2">
        <v>302</v>
      </c>
      <c r="E12" s="30" cm="1">
        <f t="array" ref="E12">MMULT($E$1/100,F12)+22.58+20</f>
        <v>323.25939999999997</v>
      </c>
      <c r="F12" s="246">
        <v>0.53769999999999996</v>
      </c>
    </row>
    <row r="13" spans="3:8" x14ac:dyDescent="0.45">
      <c r="C13" s="5" t="s">
        <v>3</v>
      </c>
      <c r="D13" s="2">
        <v>303</v>
      </c>
      <c r="E13" s="30" cm="1">
        <f t="array" ref="E13">MMULT($E$1/100,F13)+22.58+20</f>
        <v>319.44879999999995</v>
      </c>
      <c r="F13" s="246">
        <v>0.53039999999999998</v>
      </c>
    </row>
    <row r="14" spans="3:8" x14ac:dyDescent="0.45">
      <c r="C14" s="5" t="s">
        <v>3</v>
      </c>
      <c r="D14" s="2">
        <v>304</v>
      </c>
      <c r="E14" s="30" cm="1">
        <f t="array" ref="E14">MMULT($E$1/100,F14)+22.58+20</f>
        <v>319.44879999999995</v>
      </c>
      <c r="F14" s="246">
        <v>0.53039999999999998</v>
      </c>
    </row>
    <row r="15" spans="3:8" x14ac:dyDescent="0.45">
      <c r="C15" s="5" t="s">
        <v>3</v>
      </c>
      <c r="D15" s="2">
        <v>401</v>
      </c>
      <c r="E15" s="30" cm="1">
        <f t="array" ref="E15">MMULT($E$1/100,F15)+22.58+20</f>
        <v>323.25939999999997</v>
      </c>
      <c r="F15" s="246">
        <v>0.53769999999999996</v>
      </c>
    </row>
    <row r="16" spans="3:8" x14ac:dyDescent="0.45">
      <c r="C16" s="5" t="s">
        <v>3</v>
      </c>
      <c r="D16" s="2">
        <v>402</v>
      </c>
      <c r="E16" s="30" cm="1">
        <f t="array" ref="E16">MMULT($E$1/100,F16)+22.58+20</f>
        <v>323.25939999999997</v>
      </c>
      <c r="F16" s="246">
        <v>0.53769999999999996</v>
      </c>
    </row>
    <row r="17" spans="3:6" x14ac:dyDescent="0.45">
      <c r="C17" s="5" t="s">
        <v>3</v>
      </c>
      <c r="D17" s="2">
        <v>403</v>
      </c>
      <c r="E17" s="30" cm="1">
        <f t="array" ref="E17">MMULT($E$1/100,F17)+22.58+20</f>
        <v>319.44879999999995</v>
      </c>
      <c r="F17" s="246">
        <v>0.53039999999999998</v>
      </c>
    </row>
    <row r="18" spans="3:6" x14ac:dyDescent="0.45">
      <c r="C18" s="5" t="s">
        <v>3</v>
      </c>
      <c r="D18" s="2">
        <v>404</v>
      </c>
      <c r="E18" s="30" cm="1">
        <f t="array" ref="E18">MMULT($E$1/100,F18)+22.58+20</f>
        <v>319.44879999999995</v>
      </c>
      <c r="F18" s="246">
        <v>0.53039999999999998</v>
      </c>
    </row>
    <row r="19" spans="3:6" x14ac:dyDescent="0.45">
      <c r="C19" s="5" t="s">
        <v>3</v>
      </c>
      <c r="D19" s="2">
        <v>501</v>
      </c>
      <c r="E19" s="30" cm="1">
        <f t="array" ref="E19">MMULT($E$1/100,F19)+22.58+20</f>
        <v>420.8734</v>
      </c>
      <c r="F19" s="246">
        <v>0.72470000000000001</v>
      </c>
    </row>
    <row r="20" spans="3:6" x14ac:dyDescent="0.45">
      <c r="C20" s="5" t="s">
        <v>3</v>
      </c>
      <c r="D20" s="2">
        <v>502</v>
      </c>
      <c r="E20" s="30" cm="1">
        <f t="array" ref="E20">MMULT($E$1/100,F20)+22.58+20</f>
        <v>416.33199999999999</v>
      </c>
      <c r="F20" s="246">
        <v>0.71599999999999997</v>
      </c>
    </row>
    <row r="21" spans="3:6" x14ac:dyDescent="0.45">
      <c r="C21" s="5" t="s">
        <v>3</v>
      </c>
      <c r="D21" s="2">
        <v>503</v>
      </c>
      <c r="E21" s="30" cm="1">
        <f t="array" ref="E21">MMULT($E$1/100,F21)+22.58+20</f>
        <v>476.25759999999997</v>
      </c>
      <c r="F21" s="246">
        <v>0.83079999999999998</v>
      </c>
    </row>
    <row r="22" spans="3:6" x14ac:dyDescent="0.45">
      <c r="C22" s="5" t="s">
        <v>3</v>
      </c>
      <c r="D22" s="2">
        <v>504</v>
      </c>
      <c r="E22" s="30" cm="1">
        <f t="array" ref="E22">MMULT($E$1/100,F22)+22.58+20</f>
        <v>319.44879999999995</v>
      </c>
      <c r="F22" s="246">
        <v>0.53039999999999998</v>
      </c>
    </row>
    <row r="23" spans="3:6" x14ac:dyDescent="0.45">
      <c r="C23" s="5" t="s">
        <v>4</v>
      </c>
      <c r="D23" s="2">
        <v>101</v>
      </c>
      <c r="E23" s="30" cm="1">
        <f t="array" ref="E23">MMULT($E$1/100,F23)+22.58+20</f>
        <v>313.81119999999999</v>
      </c>
      <c r="F23" s="246">
        <v>0.51959999999999995</v>
      </c>
    </row>
    <row r="24" spans="3:6" x14ac:dyDescent="0.45">
      <c r="C24" s="5" t="s">
        <v>4</v>
      </c>
      <c r="D24" s="2">
        <v>102</v>
      </c>
      <c r="E24" s="30" cm="1">
        <f t="array" ref="E24">MMULT($E$1/100,F24)+22.58+20</f>
        <v>313.81119999999999</v>
      </c>
      <c r="F24" s="246">
        <v>0.51959999999999995</v>
      </c>
    </row>
    <row r="25" spans="3:6" x14ac:dyDescent="0.45">
      <c r="C25" s="5" t="s">
        <v>4</v>
      </c>
      <c r="D25" s="2">
        <v>103</v>
      </c>
      <c r="E25" s="30" cm="1">
        <f t="array" ref="E25">MMULT($E$1/100,F25)+22.58+20</f>
        <v>310.00059999999996</v>
      </c>
      <c r="F25" s="246">
        <v>0.51229999999999998</v>
      </c>
    </row>
    <row r="26" spans="3:6" x14ac:dyDescent="0.45">
      <c r="C26" s="5" t="s">
        <v>4</v>
      </c>
      <c r="D26" s="2">
        <v>104</v>
      </c>
      <c r="E26" s="30" cm="1">
        <f t="array" ref="E26">MMULT($E$1/100,F26)+22.58+20</f>
        <v>310.00059999999996</v>
      </c>
      <c r="F26" s="246">
        <v>0.51229999999999998</v>
      </c>
    </row>
    <row r="27" spans="3:6" x14ac:dyDescent="0.45">
      <c r="C27" s="5" t="s">
        <v>4</v>
      </c>
      <c r="D27" s="2">
        <v>201</v>
      </c>
      <c r="E27" s="30" cm="1">
        <f t="array" ref="E27">MMULT($E$1/100,F27)+22.58+20</f>
        <v>323.25939999999997</v>
      </c>
      <c r="F27" s="246">
        <v>0.53769999999999996</v>
      </c>
    </row>
    <row r="28" spans="3:6" x14ac:dyDescent="0.45">
      <c r="C28" s="5" t="s">
        <v>4</v>
      </c>
      <c r="D28" s="2">
        <v>202</v>
      </c>
      <c r="E28" s="30" cm="1">
        <f t="array" ref="E28">MMULT($E$1/100,F28)+22.58+20</f>
        <v>323.25939999999997</v>
      </c>
      <c r="F28" s="246">
        <v>0.53769999999999996</v>
      </c>
    </row>
    <row r="29" spans="3:6" x14ac:dyDescent="0.45">
      <c r="C29" s="5" t="s">
        <v>4</v>
      </c>
      <c r="D29" s="2">
        <v>203</v>
      </c>
      <c r="E29" s="30" cm="1">
        <f t="array" ref="E29">MMULT($E$1/100,F29)+22.58+20</f>
        <v>319.44879999999995</v>
      </c>
      <c r="F29" s="246">
        <v>0.53039999999999998</v>
      </c>
    </row>
    <row r="30" spans="3:6" x14ac:dyDescent="0.45">
      <c r="C30" s="5" t="s">
        <v>4</v>
      </c>
      <c r="D30" s="2">
        <v>204</v>
      </c>
      <c r="E30" s="30" cm="1">
        <f t="array" ref="E30">MMULT($E$1/100,F30)+22.58+20</f>
        <v>319.44879999999995</v>
      </c>
      <c r="F30" s="246">
        <v>0.53039999999999998</v>
      </c>
    </row>
    <row r="31" spans="3:6" x14ac:dyDescent="0.45">
      <c r="C31" s="5" t="s">
        <v>4</v>
      </c>
      <c r="D31" s="2">
        <v>301</v>
      </c>
      <c r="E31" s="30" cm="1">
        <f t="array" ref="E31">MMULT($E$1/100,F31)+22.58+20</f>
        <v>323.25939999999997</v>
      </c>
      <c r="F31" s="246">
        <v>0.53769999999999996</v>
      </c>
    </row>
    <row r="32" spans="3:6" x14ac:dyDescent="0.45">
      <c r="C32" s="5" t="s">
        <v>4</v>
      </c>
      <c r="D32" s="2">
        <v>302</v>
      </c>
      <c r="E32" s="30" cm="1">
        <f t="array" ref="E32">MMULT($E$1/100,F32)+22.58+20</f>
        <v>323.25939999999997</v>
      </c>
      <c r="F32" s="246">
        <v>0.53769999999999996</v>
      </c>
    </row>
    <row r="33" spans="3:6" x14ac:dyDescent="0.45">
      <c r="C33" s="5" t="s">
        <v>4</v>
      </c>
      <c r="D33" s="2">
        <v>303</v>
      </c>
      <c r="E33" s="30" cm="1">
        <f t="array" ref="E33">MMULT($E$1/100,F33)+22.58+20</f>
        <v>319.44879999999995</v>
      </c>
      <c r="F33" s="246">
        <v>0.53039999999999998</v>
      </c>
    </row>
    <row r="34" spans="3:6" x14ac:dyDescent="0.45">
      <c r="C34" s="5" t="s">
        <v>4</v>
      </c>
      <c r="D34" s="2">
        <v>304</v>
      </c>
      <c r="E34" s="30" cm="1">
        <f t="array" ref="E34">MMULT($E$1/100,F34)+22.58+20</f>
        <v>319.44879999999995</v>
      </c>
      <c r="F34" s="246">
        <v>0.53039999999999998</v>
      </c>
    </row>
    <row r="35" spans="3:6" x14ac:dyDescent="0.45">
      <c r="C35" s="5" t="s">
        <v>4</v>
      </c>
      <c r="D35" s="2">
        <v>401</v>
      </c>
      <c r="E35" s="30" cm="1">
        <f t="array" ref="E35">MMULT($E$1/100,F35)+22.58+20</f>
        <v>323.25939999999997</v>
      </c>
      <c r="F35" s="246">
        <v>0.53769999999999996</v>
      </c>
    </row>
    <row r="36" spans="3:6" x14ac:dyDescent="0.45">
      <c r="C36" s="5" t="s">
        <v>4</v>
      </c>
      <c r="D36" s="2">
        <v>402</v>
      </c>
      <c r="E36" s="30" cm="1">
        <f t="array" ref="E36">MMULT($E$1/100,F36)+22.58+20</f>
        <v>323.25939999999997</v>
      </c>
      <c r="F36" s="246">
        <v>0.53769999999999996</v>
      </c>
    </row>
    <row r="37" spans="3:6" x14ac:dyDescent="0.45">
      <c r="C37" s="5" t="s">
        <v>4</v>
      </c>
      <c r="D37" s="2">
        <v>403</v>
      </c>
      <c r="E37" s="30" cm="1">
        <f t="array" ref="E37">MMULT($E$1/100,F37)+22.58+20</f>
        <v>319.44879999999995</v>
      </c>
      <c r="F37" s="246">
        <v>0.53039999999999998</v>
      </c>
    </row>
    <row r="38" spans="3:6" x14ac:dyDescent="0.45">
      <c r="C38" s="5" t="s">
        <v>4</v>
      </c>
      <c r="D38" s="2">
        <v>404</v>
      </c>
      <c r="E38" s="30" cm="1">
        <f t="array" ref="E38">MMULT($E$1/100,F38)+22.58+20</f>
        <v>319.44879999999995</v>
      </c>
      <c r="F38" s="246">
        <v>0.53039999999999998</v>
      </c>
    </row>
    <row r="39" spans="3:6" x14ac:dyDescent="0.45">
      <c r="C39" s="5" t="s">
        <v>4</v>
      </c>
      <c r="D39" s="2">
        <v>501</v>
      </c>
      <c r="E39" s="30" cm="1">
        <f t="array" ref="E39">MMULT($E$1/100,F39)+22.58+20</f>
        <v>323.25939999999997</v>
      </c>
      <c r="F39" s="246">
        <v>0.53769999999999996</v>
      </c>
    </row>
    <row r="40" spans="3:6" x14ac:dyDescent="0.45">
      <c r="C40" s="5" t="s">
        <v>4</v>
      </c>
      <c r="D40" s="2">
        <v>502</v>
      </c>
      <c r="E40" s="30" cm="1">
        <f t="array" ref="E40">MMULT($E$1/100,F40)+22.58+20</f>
        <v>477.7192</v>
      </c>
      <c r="F40" s="246">
        <v>0.83360000000000001</v>
      </c>
    </row>
    <row r="41" spans="3:6" x14ac:dyDescent="0.45">
      <c r="C41" s="5" t="s">
        <v>4</v>
      </c>
      <c r="D41" s="2">
        <v>503</v>
      </c>
      <c r="E41" s="30" cm="1">
        <f t="array" ref="E41">MMULT($E$1/100,F41)+22.58+20</f>
        <v>319.44879999999995</v>
      </c>
      <c r="F41" s="246">
        <v>0.53039999999999998</v>
      </c>
    </row>
    <row r="42" spans="3:6" x14ac:dyDescent="0.45">
      <c r="C42" s="5" t="s">
        <v>4</v>
      </c>
      <c r="D42" s="2">
        <v>504</v>
      </c>
      <c r="E42" s="30" cm="1">
        <f t="array" ref="E42">MMULT($E$1/100,F42)+22.58+20</f>
        <v>416.74959999999999</v>
      </c>
      <c r="F42" s="246">
        <v>0.71679999999999999</v>
      </c>
    </row>
    <row r="43" spans="3:6" x14ac:dyDescent="0.45">
      <c r="C43" s="5" t="s">
        <v>5</v>
      </c>
      <c r="D43" s="2">
        <v>101</v>
      </c>
      <c r="E43" s="30" cm="1">
        <f t="array" ref="E43">MMULT($E$1/100,F43)+22.58+20</f>
        <v>313.81119999999999</v>
      </c>
      <c r="F43" s="246">
        <v>0.51959999999999995</v>
      </c>
    </row>
    <row r="44" spans="3:6" x14ac:dyDescent="0.45">
      <c r="C44" s="5" t="s">
        <v>5</v>
      </c>
      <c r="D44" s="2">
        <v>102</v>
      </c>
      <c r="E44" s="30" cm="1">
        <f t="array" ref="E44">MMULT($E$1/100,F44)+22.58+20</f>
        <v>313.81119999999999</v>
      </c>
      <c r="F44" s="246">
        <v>0.51959999999999995</v>
      </c>
    </row>
    <row r="45" spans="3:6" x14ac:dyDescent="0.45">
      <c r="C45" s="5" t="s">
        <v>5</v>
      </c>
      <c r="D45" s="2">
        <v>103</v>
      </c>
      <c r="E45" s="30" cm="1">
        <f t="array" ref="E45">MMULT($E$1/100,F45)+22.58+20</f>
        <v>310.00059999999996</v>
      </c>
      <c r="F45" s="246">
        <v>0.51229999999999998</v>
      </c>
    </row>
    <row r="46" spans="3:6" x14ac:dyDescent="0.45">
      <c r="C46" s="5" t="s">
        <v>5</v>
      </c>
      <c r="D46" s="2">
        <v>104</v>
      </c>
      <c r="E46" s="30" cm="1">
        <f t="array" ref="E46">MMULT($E$1/100,F46)+22.58+20</f>
        <v>310.00059999999996</v>
      </c>
      <c r="F46" s="246">
        <v>0.51229999999999998</v>
      </c>
    </row>
    <row r="47" spans="3:6" x14ac:dyDescent="0.45">
      <c r="C47" s="5" t="s">
        <v>5</v>
      </c>
      <c r="D47" s="2">
        <v>201</v>
      </c>
      <c r="E47" s="30" cm="1">
        <f t="array" ref="E47">MMULT($E$1/100,F47)+22.58+20</f>
        <v>323.25939999999997</v>
      </c>
      <c r="F47" s="246">
        <v>0.53769999999999996</v>
      </c>
    </row>
    <row r="48" spans="3:6" x14ac:dyDescent="0.45">
      <c r="C48" s="5" t="s">
        <v>5</v>
      </c>
      <c r="D48" s="2">
        <v>202</v>
      </c>
      <c r="E48" s="30" cm="1">
        <f t="array" ref="E48">MMULT($E$1/100,F48)+22.58+20</f>
        <v>323.25939999999997</v>
      </c>
      <c r="F48" s="246">
        <v>0.53769999999999996</v>
      </c>
    </row>
    <row r="49" spans="3:6" x14ac:dyDescent="0.45">
      <c r="C49" s="5" t="s">
        <v>5</v>
      </c>
      <c r="D49" s="2">
        <v>203</v>
      </c>
      <c r="E49" s="30" cm="1">
        <f t="array" ref="E49">MMULT($E$1/100,F49)+22.58+20</f>
        <v>319.44879999999995</v>
      </c>
      <c r="F49" s="246">
        <v>0.53039999999999998</v>
      </c>
    </row>
    <row r="50" spans="3:6" x14ac:dyDescent="0.45">
      <c r="C50" s="5" t="s">
        <v>5</v>
      </c>
      <c r="D50" s="2">
        <v>204</v>
      </c>
      <c r="E50" s="30" cm="1">
        <f t="array" ref="E50">MMULT($E$1/100,F50)+22.58+20</f>
        <v>319.44879999999995</v>
      </c>
      <c r="F50" s="246">
        <v>0.53039999999999998</v>
      </c>
    </row>
    <row r="51" spans="3:6" x14ac:dyDescent="0.45">
      <c r="C51" s="5" t="s">
        <v>5</v>
      </c>
      <c r="D51" s="2">
        <v>301</v>
      </c>
      <c r="E51" s="30" cm="1">
        <f t="array" ref="E51">MMULT($E$1/100,F51)+22.58+20</f>
        <v>323.25939999999997</v>
      </c>
      <c r="F51" s="246">
        <v>0.53769999999999996</v>
      </c>
    </row>
    <row r="52" spans="3:6" x14ac:dyDescent="0.45">
      <c r="C52" s="5" t="s">
        <v>5</v>
      </c>
      <c r="D52" s="2">
        <v>302</v>
      </c>
      <c r="E52" s="30" cm="1">
        <f t="array" ref="E52">MMULT($E$1/100,F52)+22.58+20</f>
        <v>323.25939999999997</v>
      </c>
      <c r="F52" s="246">
        <v>0.53769999999999996</v>
      </c>
    </row>
    <row r="53" spans="3:6" x14ac:dyDescent="0.45">
      <c r="C53" s="5" t="s">
        <v>5</v>
      </c>
      <c r="D53" s="2">
        <v>303</v>
      </c>
      <c r="E53" s="30" cm="1">
        <f t="array" ref="E53">MMULT($E$1/100,F53)+22.58+20</f>
        <v>319.44879999999995</v>
      </c>
      <c r="F53" s="246">
        <v>0.53039999999999998</v>
      </c>
    </row>
    <row r="54" spans="3:6" x14ac:dyDescent="0.45">
      <c r="C54" s="5" t="s">
        <v>5</v>
      </c>
      <c r="D54" s="2">
        <v>304</v>
      </c>
      <c r="E54" s="30" cm="1">
        <f t="array" ref="E54">MMULT($E$1/100,F54)+22.58+20</f>
        <v>319.44879999999995</v>
      </c>
      <c r="F54" s="246">
        <v>0.53039999999999998</v>
      </c>
    </row>
    <row r="55" spans="3:6" x14ac:dyDescent="0.45">
      <c r="C55" s="5" t="s">
        <v>5</v>
      </c>
      <c r="D55" s="2">
        <v>401</v>
      </c>
      <c r="E55" s="30" cm="1">
        <f t="array" ref="E55">MMULT($E$1/100,F55)+22.58+20</f>
        <v>323.25939999999997</v>
      </c>
      <c r="F55" s="246">
        <v>0.53769999999999996</v>
      </c>
    </row>
    <row r="56" spans="3:6" x14ac:dyDescent="0.45">
      <c r="C56" s="5" t="s">
        <v>5</v>
      </c>
      <c r="D56" s="2">
        <v>402</v>
      </c>
      <c r="E56" s="30" cm="1">
        <f t="array" ref="E56">MMULT($E$1/100,F56)+22.58+20</f>
        <v>323.25939999999997</v>
      </c>
      <c r="F56" s="246">
        <v>0.53769999999999996</v>
      </c>
    </row>
    <row r="57" spans="3:6" x14ac:dyDescent="0.45">
      <c r="C57" s="5" t="s">
        <v>5</v>
      </c>
      <c r="D57" s="2">
        <v>403</v>
      </c>
      <c r="E57" s="30" cm="1">
        <f t="array" ref="E57">MMULT($E$1/100,F57)+22.58+20</f>
        <v>319.44879999999995</v>
      </c>
      <c r="F57" s="246">
        <v>0.53039999999999998</v>
      </c>
    </row>
    <row r="58" spans="3:6" x14ac:dyDescent="0.45">
      <c r="C58" s="5" t="s">
        <v>5</v>
      </c>
      <c r="D58" s="2">
        <v>404</v>
      </c>
      <c r="E58" s="30" cm="1">
        <f t="array" ref="E58">MMULT($E$1/100,F58)+22.58+20</f>
        <v>319.44879999999995</v>
      </c>
      <c r="F58" s="246">
        <v>0.53039999999999998</v>
      </c>
    </row>
    <row r="59" spans="3:6" x14ac:dyDescent="0.45">
      <c r="C59" s="5" t="s">
        <v>5</v>
      </c>
      <c r="D59" s="2">
        <v>501</v>
      </c>
      <c r="E59" s="30" cm="1">
        <f t="array" ref="E59">MMULT($E$1/100,F59)+22.58+20</f>
        <v>426.92859999999996</v>
      </c>
      <c r="F59" s="246">
        <v>0.73629999999999995</v>
      </c>
    </row>
    <row r="60" spans="3:6" x14ac:dyDescent="0.45">
      <c r="C60" s="5" t="s">
        <v>5</v>
      </c>
      <c r="D60" s="2">
        <v>502</v>
      </c>
      <c r="E60" s="30" cm="1">
        <f t="array" ref="E60">MMULT($E$1/100,F60)+22.58+20</f>
        <v>323.25939999999997</v>
      </c>
      <c r="F60" s="246">
        <v>0.53769999999999996</v>
      </c>
    </row>
    <row r="61" spans="3:6" x14ac:dyDescent="0.45">
      <c r="C61" s="5" t="s">
        <v>5</v>
      </c>
      <c r="D61" s="2">
        <v>503</v>
      </c>
      <c r="E61" s="30" cm="1">
        <f t="array" ref="E61">MMULT($E$1/100,F61)+22.58+20</f>
        <v>319.44879999999995</v>
      </c>
      <c r="F61" s="246">
        <v>0.53039999999999998</v>
      </c>
    </row>
    <row r="62" spans="3:6" x14ac:dyDescent="0.45">
      <c r="C62" s="5" t="s">
        <v>5</v>
      </c>
      <c r="D62" s="2">
        <v>504</v>
      </c>
      <c r="E62" s="30" cm="1">
        <f t="array" ref="E62">MMULT($E$1/100,F62)+22.58+20</f>
        <v>411.11199999999997</v>
      </c>
      <c r="F62" s="246">
        <v>0.70599999999999996</v>
      </c>
    </row>
    <row r="63" spans="3:6" x14ac:dyDescent="0.45">
      <c r="C63" s="5" t="s">
        <v>6</v>
      </c>
      <c r="D63" s="2">
        <v>101</v>
      </c>
      <c r="E63" s="30" cm="1">
        <f t="array" ref="E63">MMULT($E$1/100,F63)+22.58+20</f>
        <v>313.81119999999999</v>
      </c>
      <c r="F63" s="246">
        <v>0.51959999999999995</v>
      </c>
    </row>
    <row r="64" spans="3:6" x14ac:dyDescent="0.45">
      <c r="C64" s="5" t="s">
        <v>6</v>
      </c>
      <c r="D64" s="2">
        <v>102</v>
      </c>
      <c r="E64" s="30" cm="1">
        <f t="array" ref="E64">MMULT($E$1/100,F64)+22.58+20</f>
        <v>313.81119999999999</v>
      </c>
      <c r="F64" s="246">
        <v>0.51959999999999995</v>
      </c>
    </row>
    <row r="65" spans="3:6" x14ac:dyDescent="0.45">
      <c r="C65" s="5" t="s">
        <v>6</v>
      </c>
      <c r="D65" s="2">
        <v>103</v>
      </c>
      <c r="E65" s="30" cm="1">
        <f t="array" ref="E65">MMULT($E$1/100,F65)+22.58+20</f>
        <v>310.00059999999996</v>
      </c>
      <c r="F65" s="246">
        <v>0.51229999999999998</v>
      </c>
    </row>
    <row r="66" spans="3:6" x14ac:dyDescent="0.45">
      <c r="C66" s="5" t="s">
        <v>6</v>
      </c>
      <c r="D66" s="2">
        <v>104</v>
      </c>
      <c r="E66" s="30" cm="1">
        <f t="array" ref="E66">MMULT($E$1/100,F66)+22.58+20</f>
        <v>310.00059999999996</v>
      </c>
      <c r="F66" s="246">
        <v>0.51229999999999998</v>
      </c>
    </row>
    <row r="67" spans="3:6" x14ac:dyDescent="0.45">
      <c r="C67" s="5" t="s">
        <v>6</v>
      </c>
      <c r="D67" s="2">
        <v>201</v>
      </c>
      <c r="E67" s="30" cm="1">
        <f t="array" ref="E67">MMULT($E$1/100,F67)+22.58+20</f>
        <v>323.25939999999997</v>
      </c>
      <c r="F67" s="246">
        <v>0.53769999999999996</v>
      </c>
    </row>
    <row r="68" spans="3:6" x14ac:dyDescent="0.45">
      <c r="C68" s="5" t="s">
        <v>6</v>
      </c>
      <c r="D68" s="2">
        <v>202</v>
      </c>
      <c r="E68" s="30" cm="1">
        <f t="array" ref="E68">MMULT($E$1/100,F68)+22.58+20</f>
        <v>323.25939999999997</v>
      </c>
      <c r="F68" s="246">
        <v>0.53769999999999996</v>
      </c>
    </row>
    <row r="69" spans="3:6" x14ac:dyDescent="0.45">
      <c r="C69" s="5" t="s">
        <v>6</v>
      </c>
      <c r="D69" s="2">
        <v>203</v>
      </c>
      <c r="E69" s="30" cm="1">
        <f t="array" ref="E69">MMULT($E$1/100,F69)+22.58+20</f>
        <v>319.44879999999995</v>
      </c>
      <c r="F69" s="246">
        <v>0.53039999999999998</v>
      </c>
    </row>
    <row r="70" spans="3:6" x14ac:dyDescent="0.45">
      <c r="C70" s="5" t="s">
        <v>6</v>
      </c>
      <c r="D70" s="2">
        <v>204</v>
      </c>
      <c r="E70" s="30" cm="1">
        <f t="array" ref="E70">MMULT($E$1/100,F70)+22.58+20</f>
        <v>319.44879999999995</v>
      </c>
      <c r="F70" s="246">
        <v>0.53039999999999998</v>
      </c>
    </row>
    <row r="71" spans="3:6" x14ac:dyDescent="0.45">
      <c r="C71" s="5" t="s">
        <v>6</v>
      </c>
      <c r="D71" s="2">
        <v>301</v>
      </c>
      <c r="E71" s="30" cm="1">
        <f t="array" ref="E71">MMULT($E$1/100,F71)+22.58+20</f>
        <v>323.25939999999997</v>
      </c>
      <c r="F71" s="246">
        <v>0.53769999999999996</v>
      </c>
    </row>
    <row r="72" spans="3:6" x14ac:dyDescent="0.45">
      <c r="C72" s="5" t="s">
        <v>6</v>
      </c>
      <c r="D72" s="2">
        <v>302</v>
      </c>
      <c r="E72" s="30" cm="1">
        <f t="array" ref="E72">MMULT($E$1/100,F72)+22.58+20</f>
        <v>323.25939999999997</v>
      </c>
      <c r="F72" s="246">
        <v>0.53769999999999996</v>
      </c>
    </row>
    <row r="73" spans="3:6" x14ac:dyDescent="0.45">
      <c r="C73" s="5" t="s">
        <v>6</v>
      </c>
      <c r="D73" s="2">
        <v>303</v>
      </c>
      <c r="E73" s="30" cm="1">
        <f t="array" ref="E73">MMULT($E$1/100,F73)+22.58+20</f>
        <v>319.44879999999995</v>
      </c>
      <c r="F73" s="246">
        <v>0.53039999999999998</v>
      </c>
    </row>
    <row r="74" spans="3:6" x14ac:dyDescent="0.45">
      <c r="C74" s="5" t="s">
        <v>6</v>
      </c>
      <c r="D74" s="2">
        <v>304</v>
      </c>
      <c r="E74" s="30" cm="1">
        <f t="array" ref="E74">MMULT($E$1/100,F74)+22.58+20</f>
        <v>319.44879999999995</v>
      </c>
      <c r="F74" s="246">
        <v>0.53039999999999998</v>
      </c>
    </row>
    <row r="75" spans="3:6" x14ac:dyDescent="0.45">
      <c r="C75" s="5" t="s">
        <v>6</v>
      </c>
      <c r="D75" s="2">
        <v>401</v>
      </c>
      <c r="E75" s="30" cm="1">
        <f t="array" ref="E75">MMULT($E$1/100,F75)+22.58+20</f>
        <v>323.25939999999997</v>
      </c>
      <c r="F75" s="246">
        <v>0.53769999999999996</v>
      </c>
    </row>
    <row r="76" spans="3:6" x14ac:dyDescent="0.45">
      <c r="C76" s="5" t="s">
        <v>6</v>
      </c>
      <c r="D76" s="2">
        <v>402</v>
      </c>
      <c r="E76" s="30" cm="1">
        <f t="array" ref="E76">MMULT($E$1/100,F76)+22.58+20</f>
        <v>323.25939999999997</v>
      </c>
      <c r="F76" s="246">
        <v>0.53769999999999996</v>
      </c>
    </row>
    <row r="77" spans="3:6" x14ac:dyDescent="0.45">
      <c r="C77" s="5" t="s">
        <v>6</v>
      </c>
      <c r="D77" s="2">
        <v>403</v>
      </c>
      <c r="E77" s="30" cm="1">
        <f t="array" ref="E77">MMULT($E$1/100,F77)+22.58+20</f>
        <v>319.44879999999995</v>
      </c>
      <c r="F77" s="246">
        <v>0.53039999999999998</v>
      </c>
    </row>
    <row r="78" spans="3:6" x14ac:dyDescent="0.45">
      <c r="C78" s="5" t="s">
        <v>6</v>
      </c>
      <c r="D78" s="2">
        <v>404</v>
      </c>
      <c r="E78" s="30" cm="1">
        <f t="array" ref="E78">MMULT($E$1/100,F78)+22.58+20</f>
        <v>319.44879999999995</v>
      </c>
      <c r="F78" s="246">
        <v>0.53039999999999998</v>
      </c>
    </row>
    <row r="79" spans="3:6" x14ac:dyDescent="0.45">
      <c r="C79" s="5" t="s">
        <v>6</v>
      </c>
      <c r="D79" s="2">
        <v>501</v>
      </c>
      <c r="E79" s="30" cm="1">
        <f t="array" ref="E79">MMULT($E$1/100,F79)+22.58+20</f>
        <v>424.6318</v>
      </c>
      <c r="F79" s="246">
        <v>0.7319</v>
      </c>
    </row>
    <row r="80" spans="3:6" x14ac:dyDescent="0.45">
      <c r="C80" s="5" t="s">
        <v>6</v>
      </c>
      <c r="D80" s="2">
        <v>502</v>
      </c>
      <c r="E80" s="30" cm="1">
        <f t="array" ref="E80">MMULT($E$1/100,F80)+22.58+20</f>
        <v>442.58859999999999</v>
      </c>
      <c r="F80" s="246">
        <v>0.76629999999999998</v>
      </c>
    </row>
    <row r="81" spans="3:6" x14ac:dyDescent="0.45">
      <c r="C81" s="5" t="s">
        <v>6</v>
      </c>
      <c r="D81" s="2">
        <v>503</v>
      </c>
      <c r="E81" s="30" cm="1">
        <f t="array" ref="E81">MMULT($E$1/100,F81)+22.58+20</f>
        <v>412.3648</v>
      </c>
      <c r="F81" s="246">
        <v>0.70840000000000003</v>
      </c>
    </row>
    <row r="82" spans="3:6" x14ac:dyDescent="0.45">
      <c r="C82" s="5" t="s">
        <v>6</v>
      </c>
      <c r="D82" s="2">
        <v>504</v>
      </c>
      <c r="E82" s="30" cm="1">
        <f t="array" ref="E82">MMULT($E$1/100,F82)+22.58+20</f>
        <v>319.44879999999995</v>
      </c>
      <c r="F82" s="246">
        <v>0.53039999999999998</v>
      </c>
    </row>
    <row r="83" spans="3:6" x14ac:dyDescent="0.45">
      <c r="C83" s="5" t="s">
        <v>7</v>
      </c>
      <c r="D83" s="2">
        <v>101</v>
      </c>
      <c r="E83" s="30" cm="1">
        <f t="array" ref="E83">MMULT($E$1/100,F83)+22.58+20</f>
        <v>313.81119999999999</v>
      </c>
      <c r="F83" s="246">
        <v>0.51959999999999995</v>
      </c>
    </row>
    <row r="84" spans="3:6" x14ac:dyDescent="0.45">
      <c r="C84" s="5" t="s">
        <v>7</v>
      </c>
      <c r="D84" s="2">
        <v>102</v>
      </c>
      <c r="E84" s="30" cm="1">
        <f t="array" ref="E84">MMULT($E$1/100,F84)+22.58+20</f>
        <v>313.81119999999999</v>
      </c>
      <c r="F84" s="246">
        <v>0.51959999999999995</v>
      </c>
    </row>
    <row r="85" spans="3:6" x14ac:dyDescent="0.45">
      <c r="C85" s="5" t="s">
        <v>7</v>
      </c>
      <c r="D85" s="2">
        <v>103</v>
      </c>
      <c r="E85" s="30" cm="1">
        <f t="array" ref="E85">MMULT($E$1/100,F85)+22.58+20</f>
        <v>310.00059999999996</v>
      </c>
      <c r="F85" s="246">
        <v>0.51229999999999998</v>
      </c>
    </row>
    <row r="86" spans="3:6" x14ac:dyDescent="0.45">
      <c r="C86" s="5" t="s">
        <v>7</v>
      </c>
      <c r="D86" s="2">
        <v>104</v>
      </c>
      <c r="E86" s="30" cm="1">
        <f t="array" ref="E86">MMULT($E$1/100,F86)+22.58+20</f>
        <v>310.00059999999996</v>
      </c>
      <c r="F86" s="246">
        <v>0.51229999999999998</v>
      </c>
    </row>
    <row r="87" spans="3:6" x14ac:dyDescent="0.45">
      <c r="C87" s="5" t="s">
        <v>7</v>
      </c>
      <c r="D87" s="2">
        <v>201</v>
      </c>
      <c r="E87" s="30" cm="1">
        <f t="array" ref="E87">MMULT($E$1/100,F87)+22.58+20</f>
        <v>323.25939999999997</v>
      </c>
      <c r="F87" s="246">
        <v>0.53769999999999996</v>
      </c>
    </row>
    <row r="88" spans="3:6" x14ac:dyDescent="0.45">
      <c r="C88" s="5" t="s">
        <v>7</v>
      </c>
      <c r="D88" s="2">
        <v>202</v>
      </c>
      <c r="E88" s="30" cm="1">
        <f t="array" ref="E88">MMULT($E$1/100,F88)+22.58+20</f>
        <v>323.25939999999997</v>
      </c>
      <c r="F88" s="246">
        <v>0.53769999999999996</v>
      </c>
    </row>
    <row r="89" spans="3:6" x14ac:dyDescent="0.45">
      <c r="C89" s="5" t="s">
        <v>7</v>
      </c>
      <c r="D89" s="2">
        <v>203</v>
      </c>
      <c r="E89" s="30" cm="1">
        <f t="array" ref="E89">MMULT($E$1/100,F89)+22.58+20</f>
        <v>319.44879999999995</v>
      </c>
      <c r="F89" s="246">
        <v>0.53039999999999998</v>
      </c>
    </row>
    <row r="90" spans="3:6" x14ac:dyDescent="0.45">
      <c r="C90" s="5" t="s">
        <v>7</v>
      </c>
      <c r="D90" s="2">
        <v>204</v>
      </c>
      <c r="E90" s="30" cm="1">
        <f t="array" ref="E90">MMULT($E$1/100,F90)+22.58+20</f>
        <v>319.44879999999995</v>
      </c>
      <c r="F90" s="246">
        <v>0.53039999999999998</v>
      </c>
    </row>
    <row r="91" spans="3:6" x14ac:dyDescent="0.45">
      <c r="C91" s="5" t="s">
        <v>7</v>
      </c>
      <c r="D91" s="2">
        <v>301</v>
      </c>
      <c r="E91" s="30" cm="1">
        <f t="array" ref="E91">MMULT($E$1/100,F91)+22.58+20</f>
        <v>323.25939999999997</v>
      </c>
      <c r="F91" s="246">
        <v>0.53769999999999996</v>
      </c>
    </row>
    <row r="92" spans="3:6" x14ac:dyDescent="0.45">
      <c r="C92" s="5" t="s">
        <v>7</v>
      </c>
      <c r="D92" s="2">
        <v>302</v>
      </c>
      <c r="E92" s="30" cm="1">
        <f t="array" ref="E92">MMULT($E$1/100,F92)+22.58+20</f>
        <v>323.25939999999997</v>
      </c>
      <c r="F92" s="246">
        <v>0.53769999999999996</v>
      </c>
    </row>
    <row r="93" spans="3:6" x14ac:dyDescent="0.45">
      <c r="C93" s="5" t="s">
        <v>7</v>
      </c>
      <c r="D93" s="2">
        <v>303</v>
      </c>
      <c r="E93" s="30" cm="1">
        <f t="array" ref="E93">MMULT($E$1/100,F93)+22.58+20</f>
        <v>319.44879999999995</v>
      </c>
      <c r="F93" s="246">
        <v>0.53039999999999998</v>
      </c>
    </row>
    <row r="94" spans="3:6" x14ac:dyDescent="0.45">
      <c r="C94" s="5" t="s">
        <v>7</v>
      </c>
      <c r="D94" s="2">
        <v>304</v>
      </c>
      <c r="E94" s="30" cm="1">
        <f t="array" ref="E94">MMULT($E$1/100,F94)+22.58+20</f>
        <v>319.44879999999995</v>
      </c>
      <c r="F94" s="246">
        <v>0.53039999999999998</v>
      </c>
    </row>
    <row r="95" spans="3:6" x14ac:dyDescent="0.45">
      <c r="C95" s="5" t="s">
        <v>7</v>
      </c>
      <c r="D95" s="2">
        <v>401</v>
      </c>
      <c r="E95" s="30" cm="1">
        <f t="array" ref="E95">MMULT($E$1/100,F95)+22.58+20</f>
        <v>323.25939999999997</v>
      </c>
      <c r="F95" s="246">
        <v>0.53769999999999996</v>
      </c>
    </row>
    <row r="96" spans="3:6" x14ac:dyDescent="0.45">
      <c r="C96" s="5" t="s">
        <v>7</v>
      </c>
      <c r="D96" s="2">
        <v>402</v>
      </c>
      <c r="E96" s="30" cm="1">
        <f t="array" ref="E96">MMULT($E$1/100,F96)+22.58+20</f>
        <v>323.25939999999997</v>
      </c>
      <c r="F96" s="246">
        <v>0.53769999999999996</v>
      </c>
    </row>
    <row r="97" spans="3:6" x14ac:dyDescent="0.45">
      <c r="C97" s="5" t="s">
        <v>7</v>
      </c>
      <c r="D97" s="2">
        <v>403</v>
      </c>
      <c r="E97" s="30" cm="1">
        <f t="array" ref="E97">MMULT($E$1/100,F97)+22.58+20</f>
        <v>319.44879999999995</v>
      </c>
      <c r="F97" s="246">
        <v>0.53039999999999998</v>
      </c>
    </row>
    <row r="98" spans="3:6" x14ac:dyDescent="0.45">
      <c r="C98" s="5" t="s">
        <v>7</v>
      </c>
      <c r="D98" s="2">
        <v>404</v>
      </c>
      <c r="E98" s="30" cm="1">
        <f t="array" ref="E98">MMULT($E$1/100,F98)+22.58+20</f>
        <v>319.44879999999995</v>
      </c>
      <c r="F98" s="246">
        <v>0.53039999999999998</v>
      </c>
    </row>
    <row r="99" spans="3:6" x14ac:dyDescent="0.45">
      <c r="C99" s="5" t="s">
        <v>7</v>
      </c>
      <c r="D99" s="2">
        <v>501</v>
      </c>
      <c r="E99" s="30" cm="1">
        <f t="array" ref="E99">MMULT($E$1/100,F99)+22.58+20</f>
        <v>425.57139999999998</v>
      </c>
      <c r="F99" s="246">
        <v>0.73370000000000002</v>
      </c>
    </row>
    <row r="100" spans="3:6" x14ac:dyDescent="0.45">
      <c r="C100" s="5" t="s">
        <v>7</v>
      </c>
      <c r="D100" s="2">
        <v>502</v>
      </c>
      <c r="E100" s="30" cm="1">
        <f t="array" ref="E100">MMULT($E$1/100,F100)+22.58+20</f>
        <v>431.73099999999999</v>
      </c>
      <c r="F100" s="246">
        <v>0.74550000000000005</v>
      </c>
    </row>
    <row r="101" spans="3:6" x14ac:dyDescent="0.45">
      <c r="C101" s="5" t="s">
        <v>7</v>
      </c>
      <c r="D101" s="2">
        <v>503</v>
      </c>
      <c r="E101" s="30" cm="1">
        <f t="array" ref="E101">MMULT($E$1/100,F101)+22.58+20</f>
        <v>417.89799999999997</v>
      </c>
      <c r="F101" s="246">
        <v>0.71899999999999997</v>
      </c>
    </row>
    <row r="102" spans="3:6" x14ac:dyDescent="0.45">
      <c r="C102" s="5" t="s">
        <v>7</v>
      </c>
      <c r="D102" s="2">
        <v>504</v>
      </c>
      <c r="E102" s="30" cm="1">
        <f t="array" ref="E102">MMULT($E$1/100,F102)+22.58+20</f>
        <v>438.04720000000003</v>
      </c>
      <c r="F102" s="246">
        <v>0.75760000000000005</v>
      </c>
    </row>
    <row r="103" spans="3:6" x14ac:dyDescent="0.45">
      <c r="C103" s="5" t="s">
        <v>8</v>
      </c>
      <c r="D103" s="2">
        <v>101</v>
      </c>
      <c r="E103" s="30" cm="1">
        <f t="array" ref="E103">MMULT($E$1/100,F103)+22.58+20</f>
        <v>313.81119999999999</v>
      </c>
      <c r="F103" s="246">
        <v>0.51959999999999995</v>
      </c>
    </row>
    <row r="104" spans="3:6" x14ac:dyDescent="0.45">
      <c r="C104" s="5" t="s">
        <v>8</v>
      </c>
      <c r="D104" s="2">
        <v>102</v>
      </c>
      <c r="E104" s="30" cm="1">
        <f t="array" ref="E104">MMULT($E$1/100,F104)+22.58+20</f>
        <v>313.81119999999999</v>
      </c>
      <c r="F104" s="246">
        <v>0.51959999999999995</v>
      </c>
    </row>
    <row r="105" spans="3:6" x14ac:dyDescent="0.45">
      <c r="C105" s="5" t="s">
        <v>8</v>
      </c>
      <c r="D105" s="2">
        <v>103</v>
      </c>
      <c r="E105" s="30" cm="1">
        <f t="array" ref="E105">MMULT($E$1/100,F105)+22.58+20</f>
        <v>310.00059999999996</v>
      </c>
      <c r="F105" s="246">
        <v>0.51229999999999998</v>
      </c>
    </row>
    <row r="106" spans="3:6" x14ac:dyDescent="0.45">
      <c r="C106" s="5" t="s">
        <v>8</v>
      </c>
      <c r="D106" s="2">
        <v>104</v>
      </c>
      <c r="E106" s="30" cm="1">
        <f t="array" ref="E106">MMULT($E$1/100,F106)+22.58+20</f>
        <v>310.00059999999996</v>
      </c>
      <c r="F106" s="246">
        <v>0.51229999999999998</v>
      </c>
    </row>
    <row r="107" spans="3:6" x14ac:dyDescent="0.45">
      <c r="C107" s="5" t="s">
        <v>8</v>
      </c>
      <c r="D107" s="2">
        <v>201</v>
      </c>
      <c r="E107" s="30" cm="1">
        <f t="array" ref="E107">MMULT($E$1/100,F107)+22.58+20</f>
        <v>323.25939999999997</v>
      </c>
      <c r="F107" s="246">
        <v>0.53769999999999996</v>
      </c>
    </row>
    <row r="108" spans="3:6" x14ac:dyDescent="0.45">
      <c r="C108" s="5" t="s">
        <v>8</v>
      </c>
      <c r="D108" s="2">
        <v>202</v>
      </c>
      <c r="E108" s="30" cm="1">
        <f t="array" ref="E108">MMULT($E$1/100,F108)+22.58+20</f>
        <v>323.25939999999997</v>
      </c>
      <c r="F108" s="246">
        <v>0.53769999999999996</v>
      </c>
    </row>
    <row r="109" spans="3:6" x14ac:dyDescent="0.45">
      <c r="C109" s="5" t="s">
        <v>8</v>
      </c>
      <c r="D109" s="2">
        <v>203</v>
      </c>
      <c r="E109" s="30" cm="1">
        <f t="array" ref="E109">MMULT($E$1/100,F109)+22.58+20</f>
        <v>319.44879999999995</v>
      </c>
      <c r="F109" s="246">
        <v>0.53039999999999998</v>
      </c>
    </row>
    <row r="110" spans="3:6" x14ac:dyDescent="0.45">
      <c r="C110" s="5" t="s">
        <v>8</v>
      </c>
      <c r="D110" s="2">
        <v>204</v>
      </c>
      <c r="E110" s="30" cm="1">
        <f t="array" ref="E110">MMULT($E$1/100,F110)+22.58+20</f>
        <v>319.44879999999995</v>
      </c>
      <c r="F110" s="246">
        <v>0.53039999999999998</v>
      </c>
    </row>
    <row r="111" spans="3:6" x14ac:dyDescent="0.45">
      <c r="C111" s="5" t="s">
        <v>8</v>
      </c>
      <c r="D111" s="2">
        <v>301</v>
      </c>
      <c r="E111" s="30" cm="1">
        <f t="array" ref="E111">MMULT($E$1/100,F111)+22.58+20</f>
        <v>323.25939999999997</v>
      </c>
      <c r="F111" s="246">
        <v>0.53769999999999996</v>
      </c>
    </row>
    <row r="112" spans="3:6" x14ac:dyDescent="0.45">
      <c r="C112" s="5" t="s">
        <v>8</v>
      </c>
      <c r="D112" s="2">
        <v>302</v>
      </c>
      <c r="E112" s="30" cm="1">
        <f t="array" ref="E112">MMULT($E$1/100,F112)+22.58+20</f>
        <v>323.25939999999997</v>
      </c>
      <c r="F112" s="246">
        <v>0.53769999999999996</v>
      </c>
    </row>
    <row r="113" spans="3:6" x14ac:dyDescent="0.45">
      <c r="C113" s="5" t="s">
        <v>8</v>
      </c>
      <c r="D113" s="2">
        <v>303</v>
      </c>
      <c r="E113" s="30" cm="1">
        <f t="array" ref="E113">MMULT($E$1/100,F113)+22.58+20</f>
        <v>319.44879999999995</v>
      </c>
      <c r="F113" s="246">
        <v>0.53039999999999998</v>
      </c>
    </row>
    <row r="114" spans="3:6" x14ac:dyDescent="0.45">
      <c r="C114" s="5" t="s">
        <v>8</v>
      </c>
      <c r="D114" s="2">
        <v>304</v>
      </c>
      <c r="E114" s="30" cm="1">
        <f t="array" ref="E114">MMULT($E$1/100,F114)+22.58+20</f>
        <v>319.44879999999995</v>
      </c>
      <c r="F114" s="246">
        <v>0.53039999999999998</v>
      </c>
    </row>
    <row r="115" spans="3:6" x14ac:dyDescent="0.45">
      <c r="C115" s="5" t="s">
        <v>8</v>
      </c>
      <c r="D115" s="2">
        <v>401</v>
      </c>
      <c r="E115" s="30" cm="1">
        <f t="array" ref="E115">MMULT($E$1/100,F115)+22.58+20</f>
        <v>323.25939999999997</v>
      </c>
      <c r="F115" s="246">
        <v>0.53769999999999996</v>
      </c>
    </row>
    <row r="116" spans="3:6" x14ac:dyDescent="0.45">
      <c r="C116" s="5" t="s">
        <v>8</v>
      </c>
      <c r="D116" s="2">
        <v>402</v>
      </c>
      <c r="E116" s="30" cm="1">
        <f t="array" ref="E116">MMULT($E$1/100,F116)+22.58+20</f>
        <v>323.25939999999997</v>
      </c>
      <c r="F116" s="246">
        <v>0.53769999999999996</v>
      </c>
    </row>
    <row r="117" spans="3:6" x14ac:dyDescent="0.45">
      <c r="C117" s="5" t="s">
        <v>8</v>
      </c>
      <c r="D117" s="2">
        <v>403</v>
      </c>
      <c r="E117" s="30" cm="1">
        <f t="array" ref="E117">MMULT($E$1/100,F117)+22.58+20</f>
        <v>319.44879999999995</v>
      </c>
      <c r="F117" s="246">
        <v>0.53039999999999998</v>
      </c>
    </row>
    <row r="118" spans="3:6" x14ac:dyDescent="0.45">
      <c r="C118" s="5" t="s">
        <v>8</v>
      </c>
      <c r="D118" s="2">
        <v>404</v>
      </c>
      <c r="E118" s="30" cm="1">
        <f t="array" ref="E118">MMULT($E$1/100,F118)+22.58+20</f>
        <v>319.44879999999995</v>
      </c>
      <c r="F118" s="246">
        <v>0.53039999999999998</v>
      </c>
    </row>
    <row r="119" spans="3:6" x14ac:dyDescent="0.45">
      <c r="C119" s="5" t="s">
        <v>8</v>
      </c>
      <c r="D119" s="2">
        <v>501</v>
      </c>
      <c r="E119" s="30" cm="1">
        <f t="array" ref="E119">MMULT($E$1/100,F119)+22.58+20</f>
        <v>418.26339999999999</v>
      </c>
      <c r="F119" s="246">
        <v>0.71970000000000001</v>
      </c>
    </row>
    <row r="120" spans="3:6" x14ac:dyDescent="0.45">
      <c r="C120" s="5" t="s">
        <v>8</v>
      </c>
      <c r="D120" s="2">
        <v>502</v>
      </c>
      <c r="E120" s="30" cm="1">
        <f t="array" ref="E120">MMULT($E$1/100,F120)+22.58+20</f>
        <v>416.43639999999994</v>
      </c>
      <c r="F120" s="246">
        <v>0.71619999999999995</v>
      </c>
    </row>
    <row r="121" spans="3:6" x14ac:dyDescent="0.45">
      <c r="C121" s="5" t="s">
        <v>8</v>
      </c>
      <c r="D121" s="2">
        <v>503</v>
      </c>
      <c r="E121" s="30" cm="1">
        <f t="array" ref="E121">MMULT($E$1/100,F121)+22.58+20</f>
        <v>417.637</v>
      </c>
      <c r="F121" s="246">
        <v>0.71850000000000003</v>
      </c>
    </row>
    <row r="122" spans="3:6" x14ac:dyDescent="0.45">
      <c r="C122" s="5" t="s">
        <v>8</v>
      </c>
      <c r="D122" s="2">
        <v>504</v>
      </c>
      <c r="E122" s="30" cm="1">
        <f t="array" ref="E122">MMULT($E$1/100,F122)+22.58+20</f>
        <v>419.09860000000003</v>
      </c>
      <c r="F122" s="246">
        <v>0.72130000000000005</v>
      </c>
    </row>
    <row r="123" spans="3:6" x14ac:dyDescent="0.45">
      <c r="C123" s="5" t="s">
        <v>9</v>
      </c>
      <c r="D123" s="2">
        <v>101</v>
      </c>
      <c r="E123" s="30" cm="1">
        <f t="array" ref="E123">MMULT($E$1/100,F123)+22.58+20</f>
        <v>313.81119999999999</v>
      </c>
      <c r="F123" s="246">
        <v>0.51959999999999995</v>
      </c>
    </row>
    <row r="124" spans="3:6" x14ac:dyDescent="0.45">
      <c r="C124" s="159" t="s">
        <v>9</v>
      </c>
      <c r="D124" s="2">
        <v>102</v>
      </c>
      <c r="E124" s="30" cm="1">
        <f t="array" ref="E124">MMULT($E$1/100,F124)+22.58+20</f>
        <v>313.81119999999999</v>
      </c>
      <c r="F124" s="246">
        <v>0.51959999999999995</v>
      </c>
    </row>
    <row r="125" spans="3:6" x14ac:dyDescent="0.45">
      <c r="C125" s="5" t="s">
        <v>9</v>
      </c>
      <c r="D125" s="2">
        <v>103</v>
      </c>
      <c r="E125" s="30" cm="1">
        <f t="array" ref="E125">MMULT($E$1/100,F125)+22.58+20</f>
        <v>310.00059999999996</v>
      </c>
      <c r="F125" s="246">
        <v>0.51229999999999998</v>
      </c>
    </row>
    <row r="126" spans="3:6" x14ac:dyDescent="0.45">
      <c r="C126" s="5" t="s">
        <v>9</v>
      </c>
      <c r="D126" s="2">
        <v>104</v>
      </c>
      <c r="E126" s="30" cm="1">
        <f t="array" ref="E126">MMULT($E$1/100,F126)+22.58+20</f>
        <v>310.00059999999996</v>
      </c>
      <c r="F126" s="246">
        <v>0.51229999999999998</v>
      </c>
    </row>
    <row r="127" spans="3:6" x14ac:dyDescent="0.45">
      <c r="C127" s="5" t="s">
        <v>9</v>
      </c>
      <c r="D127" s="2">
        <v>201</v>
      </c>
      <c r="E127" s="30" cm="1">
        <f t="array" ref="E127">MMULT($E$1/100,F127)+22.58+20</f>
        <v>323.25939999999997</v>
      </c>
      <c r="F127" s="246">
        <v>0.53769999999999996</v>
      </c>
    </row>
    <row r="128" spans="3:6" x14ac:dyDescent="0.45">
      <c r="C128" s="5" t="s">
        <v>9</v>
      </c>
      <c r="D128" s="2">
        <v>202</v>
      </c>
      <c r="E128" s="30" cm="1">
        <f t="array" ref="E128">MMULT($E$1/100,F128)+22.58+20</f>
        <v>323.25939999999997</v>
      </c>
      <c r="F128" s="246">
        <v>0.53769999999999996</v>
      </c>
    </row>
    <row r="129" spans="3:6" x14ac:dyDescent="0.45">
      <c r="C129" s="5" t="s">
        <v>9</v>
      </c>
      <c r="D129" s="2">
        <v>203</v>
      </c>
      <c r="E129" s="30" cm="1">
        <f t="array" ref="E129">MMULT($E$1/100,F129)+22.58+20</f>
        <v>319.44879999999995</v>
      </c>
      <c r="F129" s="246">
        <v>0.53039999999999998</v>
      </c>
    </row>
    <row r="130" spans="3:6" x14ac:dyDescent="0.45">
      <c r="C130" s="5" t="s">
        <v>9</v>
      </c>
      <c r="D130" s="2">
        <v>204</v>
      </c>
      <c r="E130" s="30" cm="1">
        <f t="array" ref="E130">MMULT($E$1/100,F130)+22.58+20</f>
        <v>319.44879999999995</v>
      </c>
      <c r="F130" s="246">
        <v>0.53039999999999998</v>
      </c>
    </row>
    <row r="131" spans="3:6" x14ac:dyDescent="0.45">
      <c r="C131" s="5" t="s">
        <v>9</v>
      </c>
      <c r="D131" s="2">
        <v>301</v>
      </c>
      <c r="E131" s="30" cm="1">
        <f t="array" ref="E131">MMULT($E$1/100,F131)+22.58+20</f>
        <v>323.25939999999997</v>
      </c>
      <c r="F131" s="246">
        <v>0.53769999999999996</v>
      </c>
    </row>
    <row r="132" spans="3:6" x14ac:dyDescent="0.45">
      <c r="C132" s="5" t="s">
        <v>9</v>
      </c>
      <c r="D132" s="2">
        <v>302</v>
      </c>
      <c r="E132" s="30" cm="1">
        <f t="array" ref="E132">MMULT($E$1/100,F132)+22.58+20</f>
        <v>323.25939999999997</v>
      </c>
      <c r="F132" s="246">
        <v>0.53769999999999996</v>
      </c>
    </row>
    <row r="133" spans="3:6" x14ac:dyDescent="0.45">
      <c r="C133" s="5" t="s">
        <v>9</v>
      </c>
      <c r="D133" s="2">
        <v>303</v>
      </c>
      <c r="E133" s="30" cm="1">
        <f t="array" ref="E133">MMULT($E$1/100,F133)+22.58+20</f>
        <v>319.44879999999995</v>
      </c>
      <c r="F133" s="246">
        <v>0.53039999999999998</v>
      </c>
    </row>
    <row r="134" spans="3:6" x14ac:dyDescent="0.45">
      <c r="C134" s="5" t="s">
        <v>9</v>
      </c>
      <c r="D134" s="2">
        <v>304</v>
      </c>
      <c r="E134" s="30" cm="1">
        <f t="array" ref="E134">MMULT($E$1/100,F134)+22.58+20</f>
        <v>319.44879999999995</v>
      </c>
      <c r="F134" s="246">
        <v>0.53039999999999998</v>
      </c>
    </row>
    <row r="135" spans="3:6" x14ac:dyDescent="0.45">
      <c r="C135" s="5" t="s">
        <v>9</v>
      </c>
      <c r="D135" s="2">
        <v>401</v>
      </c>
      <c r="E135" s="30" cm="1">
        <f t="array" ref="E135">MMULT($E$1/100,F135)+22.58+20</f>
        <v>323.25939999999997</v>
      </c>
      <c r="F135" s="246">
        <v>0.53769999999999996</v>
      </c>
    </row>
    <row r="136" spans="3:6" x14ac:dyDescent="0.45">
      <c r="C136" s="5" t="s">
        <v>9</v>
      </c>
      <c r="D136" s="2">
        <v>402</v>
      </c>
      <c r="E136" s="30" cm="1">
        <f t="array" ref="E136">MMULT($E$1/100,F136)+22.58+20</f>
        <v>323.25939999999997</v>
      </c>
      <c r="F136" s="246">
        <v>0.53769999999999996</v>
      </c>
    </row>
    <row r="137" spans="3:6" x14ac:dyDescent="0.45">
      <c r="C137" s="5" t="s">
        <v>9</v>
      </c>
      <c r="D137" s="2">
        <v>403</v>
      </c>
      <c r="E137" s="30" cm="1">
        <f t="array" ref="E137">MMULT($E$1/100,F137)+22.58+20</f>
        <v>319.44879999999995</v>
      </c>
      <c r="F137" s="246">
        <v>0.53039999999999998</v>
      </c>
    </row>
    <row r="138" spans="3:6" x14ac:dyDescent="0.45">
      <c r="C138" s="5" t="s">
        <v>9</v>
      </c>
      <c r="D138" s="2">
        <v>404</v>
      </c>
      <c r="E138" s="30" cm="1">
        <f t="array" ref="E138">MMULT($E$1/100,F138)+22.58+20</f>
        <v>319.44879999999995</v>
      </c>
      <c r="F138" s="246">
        <v>0.53039999999999998</v>
      </c>
    </row>
    <row r="139" spans="3:6" x14ac:dyDescent="0.45">
      <c r="C139" s="5" t="s">
        <v>9</v>
      </c>
      <c r="D139" s="2">
        <v>501</v>
      </c>
      <c r="E139" s="30" cm="1">
        <f t="array" ref="E139">MMULT($E$1/100,F139)+22.58+20</f>
        <v>425.25819999999999</v>
      </c>
      <c r="F139" s="246">
        <v>0.73309999999999997</v>
      </c>
    </row>
    <row r="140" spans="3:6" x14ac:dyDescent="0.45">
      <c r="C140" s="5" t="s">
        <v>9</v>
      </c>
      <c r="D140" s="2">
        <v>502</v>
      </c>
      <c r="E140" s="30" cm="1">
        <f t="array" ref="E140">MMULT($E$1/100,F140)+22.58+20</f>
        <v>431.99199999999996</v>
      </c>
      <c r="F140" s="246">
        <v>0.746</v>
      </c>
    </row>
    <row r="141" spans="3:6" x14ac:dyDescent="0.45">
      <c r="C141" s="5" t="s">
        <v>9</v>
      </c>
      <c r="D141" s="2">
        <v>503</v>
      </c>
      <c r="E141" s="30" cm="1">
        <f t="array" ref="E141">MMULT($E$1/100,F141)+22.58+20</f>
        <v>319.44879999999995</v>
      </c>
      <c r="F141" s="246">
        <v>0.53039999999999998</v>
      </c>
    </row>
    <row r="142" spans="3:6" x14ac:dyDescent="0.45">
      <c r="C142" s="5" t="s">
        <v>9</v>
      </c>
      <c r="D142" s="2">
        <v>504</v>
      </c>
      <c r="E142" s="30" cm="1">
        <f t="array" ref="E142">MMULT($E$1/100,F142)+22.58+20</f>
        <v>357.97239999999994</v>
      </c>
      <c r="F142" s="246">
        <v>0.60419999999999996</v>
      </c>
    </row>
    <row r="143" spans="3:6" x14ac:dyDescent="0.45">
      <c r="C143" s="5" t="s">
        <v>10</v>
      </c>
      <c r="D143" s="2">
        <v>101</v>
      </c>
      <c r="E143" s="30" cm="1">
        <f t="array" ref="E143">MMULT($E$1/100,F143)+22.58+20</f>
        <v>313.81119999999999</v>
      </c>
      <c r="F143" s="246">
        <v>0.51959999999999995</v>
      </c>
    </row>
    <row r="144" spans="3:6" x14ac:dyDescent="0.45">
      <c r="C144" s="5" t="s">
        <v>10</v>
      </c>
      <c r="D144" s="2">
        <v>102</v>
      </c>
      <c r="E144" s="30" cm="1">
        <f t="array" ref="E144">MMULT($E$1/100,F144)+22.58+20</f>
        <v>313.81119999999999</v>
      </c>
      <c r="F144" s="246">
        <v>0.51959999999999995</v>
      </c>
    </row>
    <row r="145" spans="3:6" x14ac:dyDescent="0.45">
      <c r="C145" s="5" t="s">
        <v>10</v>
      </c>
      <c r="D145" s="2">
        <v>103</v>
      </c>
      <c r="E145" s="30" cm="1">
        <f t="array" ref="E145">MMULT($E$1/100,F145)+22.58+20</f>
        <v>310.00059999999996</v>
      </c>
      <c r="F145" s="246">
        <v>0.51229999999999998</v>
      </c>
    </row>
    <row r="146" spans="3:6" x14ac:dyDescent="0.45">
      <c r="C146" s="5" t="s">
        <v>10</v>
      </c>
      <c r="D146" s="2">
        <v>104</v>
      </c>
      <c r="E146" s="30" cm="1">
        <f t="array" ref="E146">MMULT($E$1/100,F146)+22.58+20</f>
        <v>310.00059999999996</v>
      </c>
      <c r="F146" s="246">
        <v>0.51229999999999998</v>
      </c>
    </row>
    <row r="147" spans="3:6" x14ac:dyDescent="0.45">
      <c r="C147" s="5" t="s">
        <v>10</v>
      </c>
      <c r="D147" s="2">
        <v>201</v>
      </c>
      <c r="E147" s="30" cm="1">
        <f t="array" ref="E147">MMULT($E$1/100,F147)+22.58+20</f>
        <v>323.25939999999997</v>
      </c>
      <c r="F147" s="246">
        <v>0.53769999999999996</v>
      </c>
    </row>
    <row r="148" spans="3:6" x14ac:dyDescent="0.45">
      <c r="C148" s="5" t="s">
        <v>10</v>
      </c>
      <c r="D148" s="2">
        <v>202</v>
      </c>
      <c r="E148" s="30" cm="1">
        <f t="array" ref="E148">MMULT($E$1/100,F148)+22.58+20</f>
        <v>323.25939999999997</v>
      </c>
      <c r="F148" s="246">
        <v>0.53769999999999996</v>
      </c>
    </row>
    <row r="149" spans="3:6" x14ac:dyDescent="0.45">
      <c r="C149" s="5" t="s">
        <v>10</v>
      </c>
      <c r="D149" s="2">
        <v>203</v>
      </c>
      <c r="E149" s="30" cm="1">
        <f t="array" ref="E149">MMULT($E$1/100,F149)+22.58+20</f>
        <v>319.44879999999995</v>
      </c>
      <c r="F149" s="246">
        <v>0.53039999999999998</v>
      </c>
    </row>
    <row r="150" spans="3:6" x14ac:dyDescent="0.45">
      <c r="C150" s="5" t="s">
        <v>10</v>
      </c>
      <c r="D150" s="2">
        <v>204</v>
      </c>
      <c r="E150" s="30" cm="1">
        <f t="array" ref="E150">MMULT($E$1/100,F150)+22.58+20</f>
        <v>319.44879999999995</v>
      </c>
      <c r="F150" s="246">
        <v>0.53039999999999998</v>
      </c>
    </row>
    <row r="151" spans="3:6" x14ac:dyDescent="0.45">
      <c r="C151" s="5" t="s">
        <v>10</v>
      </c>
      <c r="D151" s="2">
        <v>301</v>
      </c>
      <c r="E151" s="30" cm="1">
        <f t="array" ref="E151">MMULT($E$1/100,F151)+22.58+20</f>
        <v>323.25939999999997</v>
      </c>
      <c r="F151" s="246">
        <v>0.53769999999999996</v>
      </c>
    </row>
    <row r="152" spans="3:6" x14ac:dyDescent="0.45">
      <c r="C152" s="5" t="s">
        <v>10</v>
      </c>
      <c r="D152" s="2">
        <v>302</v>
      </c>
      <c r="E152" s="30" cm="1">
        <f t="array" ref="E152">MMULT($E$1/100,F152)+22.58+20</f>
        <v>323.25939999999997</v>
      </c>
      <c r="F152" s="246">
        <v>0.53769999999999996</v>
      </c>
    </row>
    <row r="153" spans="3:6" x14ac:dyDescent="0.45">
      <c r="C153" s="5" t="s">
        <v>10</v>
      </c>
      <c r="D153" s="2">
        <v>303</v>
      </c>
      <c r="E153" s="30" cm="1">
        <f t="array" ref="E153">MMULT($E$1/100,F153)+22.58+20</f>
        <v>319.44879999999995</v>
      </c>
      <c r="F153" s="246">
        <v>0.53039999999999998</v>
      </c>
    </row>
    <row r="154" spans="3:6" x14ac:dyDescent="0.45">
      <c r="C154" s="5" t="s">
        <v>10</v>
      </c>
      <c r="D154" s="2">
        <v>304</v>
      </c>
      <c r="E154" s="30" cm="1">
        <f t="array" ref="E154">MMULT($E$1/100,F154)+22.58+20</f>
        <v>319.44879999999995</v>
      </c>
      <c r="F154" s="246">
        <v>0.53039999999999998</v>
      </c>
    </row>
    <row r="155" spans="3:6" x14ac:dyDescent="0.45">
      <c r="C155" s="5" t="s">
        <v>10</v>
      </c>
      <c r="D155" s="2">
        <v>401</v>
      </c>
      <c r="E155" s="30" cm="1">
        <f t="array" ref="E155">MMULT($E$1/100,F155)+22.58+20</f>
        <v>323.25939999999997</v>
      </c>
      <c r="F155" s="246">
        <v>0.53769999999999996</v>
      </c>
    </row>
    <row r="156" spans="3:6" x14ac:dyDescent="0.45">
      <c r="C156" s="5" t="s">
        <v>10</v>
      </c>
      <c r="D156" s="2">
        <v>402</v>
      </c>
      <c r="E156" s="30" cm="1">
        <f t="array" ref="E156">MMULT($E$1/100,F156)+22.58+20</f>
        <v>323.25939999999997</v>
      </c>
      <c r="F156" s="246">
        <v>0.53769999999999996</v>
      </c>
    </row>
    <row r="157" spans="3:6" x14ac:dyDescent="0.45">
      <c r="C157" s="5" t="s">
        <v>10</v>
      </c>
      <c r="D157" s="2">
        <v>403</v>
      </c>
      <c r="E157" s="30" cm="1">
        <f t="array" ref="E157">MMULT($E$1/100,F157)+22.58+20</f>
        <v>319.44879999999995</v>
      </c>
      <c r="F157" s="246">
        <v>0.53039999999999998</v>
      </c>
    </row>
    <row r="158" spans="3:6" x14ac:dyDescent="0.45">
      <c r="C158" s="5" t="s">
        <v>10</v>
      </c>
      <c r="D158" s="2">
        <v>404</v>
      </c>
      <c r="E158" s="30" cm="1">
        <f t="array" ref="E158">MMULT($E$1/100,F158)+22.58+20</f>
        <v>319.44879999999995</v>
      </c>
      <c r="F158" s="246">
        <v>0.53039999999999998</v>
      </c>
    </row>
    <row r="159" spans="3:6" x14ac:dyDescent="0.45">
      <c r="C159" s="5" t="s">
        <v>10</v>
      </c>
      <c r="D159" s="2">
        <v>501</v>
      </c>
      <c r="E159" s="30" cm="1">
        <f t="array" ref="E159">MMULT($E$1/100,F159)+22.58+20</f>
        <v>323.25939999999997</v>
      </c>
      <c r="F159" s="246">
        <v>0.53769999999999996</v>
      </c>
    </row>
    <row r="160" spans="3:6" x14ac:dyDescent="0.45">
      <c r="C160" s="5" t="s">
        <v>10</v>
      </c>
      <c r="D160" s="2">
        <v>502</v>
      </c>
      <c r="E160" s="30" cm="1">
        <f t="array" ref="E160">MMULT($E$1/100,F160)+22.58+20</f>
        <v>323.25939999999997</v>
      </c>
      <c r="F160" s="246">
        <v>0.53769999999999996</v>
      </c>
    </row>
    <row r="161" spans="3:6" x14ac:dyDescent="0.45">
      <c r="C161" s="5" t="s">
        <v>10</v>
      </c>
      <c r="D161" s="2">
        <v>503</v>
      </c>
      <c r="E161" s="30" cm="1">
        <f t="array" ref="E161">MMULT($E$1/100,F161)+22.58+20</f>
        <v>319.44879999999995</v>
      </c>
      <c r="F161" s="246">
        <v>0.53039999999999998</v>
      </c>
    </row>
    <row r="162" spans="3:6" x14ac:dyDescent="0.45">
      <c r="C162" s="5" t="s">
        <v>10</v>
      </c>
      <c r="D162" s="2">
        <v>504</v>
      </c>
      <c r="E162" s="30" cm="1">
        <f t="array" ref="E162">MMULT($E$1/100,F162)+22.58+20</f>
        <v>319.44879999999995</v>
      </c>
      <c r="F162" s="246">
        <v>0.53039999999999998</v>
      </c>
    </row>
    <row r="163" spans="3:6" x14ac:dyDescent="0.45">
      <c r="C163" s="5" t="s">
        <v>11</v>
      </c>
      <c r="D163" s="2">
        <v>101</v>
      </c>
      <c r="E163" s="30" cm="1">
        <f t="array" ref="E163">MMULT($E$1/100,F163)+22.58+20</f>
        <v>313.81119999999999</v>
      </c>
      <c r="F163" s="246">
        <v>0.51959999999999995</v>
      </c>
    </row>
    <row r="164" spans="3:6" x14ac:dyDescent="0.45">
      <c r="C164" s="5" t="s">
        <v>11</v>
      </c>
      <c r="D164" s="2">
        <v>102</v>
      </c>
      <c r="E164" s="30" cm="1">
        <f t="array" ref="E164">MMULT($E$1/100,F164)+22.58+20</f>
        <v>313.81119999999999</v>
      </c>
      <c r="F164" s="246">
        <v>0.51959999999999995</v>
      </c>
    </row>
    <row r="165" spans="3:6" x14ac:dyDescent="0.45">
      <c r="C165" s="5" t="s">
        <v>11</v>
      </c>
      <c r="D165" s="2">
        <v>103</v>
      </c>
      <c r="E165" s="30" cm="1">
        <f t="array" ref="E165">MMULT($E$1/100,F165)+22.58+20</f>
        <v>310.00059999999996</v>
      </c>
      <c r="F165" s="246">
        <v>0.51229999999999998</v>
      </c>
    </row>
    <row r="166" spans="3:6" x14ac:dyDescent="0.45">
      <c r="C166" s="5" t="s">
        <v>11</v>
      </c>
      <c r="D166" s="2">
        <v>104</v>
      </c>
      <c r="E166" s="30" cm="1">
        <f t="array" ref="E166">MMULT($E$1/100,F166)+22.58+20</f>
        <v>310.00059999999996</v>
      </c>
      <c r="F166" s="246">
        <v>0.51229999999999998</v>
      </c>
    </row>
    <row r="167" spans="3:6" x14ac:dyDescent="0.45">
      <c r="C167" s="5" t="s">
        <v>11</v>
      </c>
      <c r="D167" s="2">
        <v>201</v>
      </c>
      <c r="E167" s="30" cm="1">
        <f t="array" ref="E167">MMULT($E$1/100,F167)+22.58+20</f>
        <v>323.25939999999997</v>
      </c>
      <c r="F167" s="246">
        <v>0.53769999999999996</v>
      </c>
    </row>
    <row r="168" spans="3:6" x14ac:dyDescent="0.45">
      <c r="C168" s="5" t="s">
        <v>11</v>
      </c>
      <c r="D168" s="2">
        <v>202</v>
      </c>
      <c r="E168" s="30" cm="1">
        <f t="array" ref="E168">MMULT($E$1/100,F168)+22.58+20</f>
        <v>323.25939999999997</v>
      </c>
      <c r="F168" s="246">
        <v>0.53769999999999996</v>
      </c>
    </row>
    <row r="169" spans="3:6" x14ac:dyDescent="0.45">
      <c r="C169" s="5" t="s">
        <v>11</v>
      </c>
      <c r="D169" s="2">
        <v>203</v>
      </c>
      <c r="E169" s="30" cm="1">
        <f t="array" ref="E169">MMULT($E$1/100,F169)+22.58+20</f>
        <v>319.44879999999995</v>
      </c>
      <c r="F169" s="246">
        <v>0.53039999999999998</v>
      </c>
    </row>
    <row r="170" spans="3:6" x14ac:dyDescent="0.45">
      <c r="C170" s="5" t="s">
        <v>11</v>
      </c>
      <c r="D170" s="2">
        <v>204</v>
      </c>
      <c r="E170" s="30" cm="1">
        <f t="array" ref="E170">MMULT($E$1/100,F170)+22.58+20</f>
        <v>319.44879999999995</v>
      </c>
      <c r="F170" s="246">
        <v>0.53039999999999998</v>
      </c>
    </row>
    <row r="171" spans="3:6" x14ac:dyDescent="0.45">
      <c r="C171" s="5" t="s">
        <v>11</v>
      </c>
      <c r="D171" s="2">
        <v>301</v>
      </c>
      <c r="E171" s="30" cm="1">
        <f t="array" ref="E171">MMULT($E$1/100,F171)+22.58+20</f>
        <v>323.25939999999997</v>
      </c>
      <c r="F171" s="246">
        <v>0.53769999999999996</v>
      </c>
    </row>
    <row r="172" spans="3:6" x14ac:dyDescent="0.45">
      <c r="C172" s="5" t="s">
        <v>11</v>
      </c>
      <c r="D172" s="2">
        <v>302</v>
      </c>
      <c r="E172" s="30" cm="1">
        <f t="array" ref="E172">MMULT($E$1/100,F172)+22.58+20</f>
        <v>323.25939999999997</v>
      </c>
      <c r="F172" s="246">
        <v>0.53769999999999996</v>
      </c>
    </row>
    <row r="173" spans="3:6" x14ac:dyDescent="0.45">
      <c r="C173" s="5" t="s">
        <v>11</v>
      </c>
      <c r="D173" s="2">
        <v>303</v>
      </c>
      <c r="E173" s="30" cm="1">
        <f t="array" ref="E173">MMULT($E$1/100,F173)+22.58+20</f>
        <v>319.44879999999995</v>
      </c>
      <c r="F173" s="246">
        <v>0.53039999999999998</v>
      </c>
    </row>
    <row r="174" spans="3:6" x14ac:dyDescent="0.45">
      <c r="C174" s="5" t="s">
        <v>11</v>
      </c>
      <c r="D174" s="2">
        <v>304</v>
      </c>
      <c r="E174" s="30" cm="1">
        <f t="array" ref="E174">MMULT($E$1/100,F174)+22.58+20</f>
        <v>319.44879999999995</v>
      </c>
      <c r="F174" s="246">
        <v>0.53039999999999998</v>
      </c>
    </row>
    <row r="175" spans="3:6" x14ac:dyDescent="0.45">
      <c r="C175" s="5" t="s">
        <v>11</v>
      </c>
      <c r="D175" s="2">
        <v>401</v>
      </c>
      <c r="E175" s="30" cm="1">
        <f t="array" ref="E175">MMULT($E$1/100,F175)+22.58+20</f>
        <v>323.25939999999997</v>
      </c>
      <c r="F175" s="246">
        <v>0.53769999999999996</v>
      </c>
    </row>
    <row r="176" spans="3:6" x14ac:dyDescent="0.45">
      <c r="C176" s="5" t="s">
        <v>11</v>
      </c>
      <c r="D176" s="2">
        <v>402</v>
      </c>
      <c r="E176" s="30" cm="1">
        <f t="array" ref="E176">MMULT($E$1/100,F176)+22.58+20</f>
        <v>323.25939999999997</v>
      </c>
      <c r="F176" s="246">
        <v>0.53769999999999996</v>
      </c>
    </row>
    <row r="177" spans="3:6" x14ac:dyDescent="0.45">
      <c r="C177" s="5" t="s">
        <v>11</v>
      </c>
      <c r="D177" s="2">
        <v>403</v>
      </c>
      <c r="E177" s="30" cm="1">
        <f t="array" ref="E177">MMULT($E$1/100,F177)+22.58+20</f>
        <v>319.44879999999995</v>
      </c>
      <c r="F177" s="246">
        <v>0.53039999999999998</v>
      </c>
    </row>
    <row r="178" spans="3:6" x14ac:dyDescent="0.45">
      <c r="C178" s="5" t="s">
        <v>11</v>
      </c>
      <c r="D178" s="2">
        <v>404</v>
      </c>
      <c r="E178" s="30" cm="1">
        <f t="array" ref="E178">MMULT($E$1/100,F178)+22.58+20</f>
        <v>319.44879999999995</v>
      </c>
      <c r="F178" s="246">
        <v>0.53039999999999998</v>
      </c>
    </row>
    <row r="179" spans="3:6" x14ac:dyDescent="0.45">
      <c r="C179" s="5" t="s">
        <v>11</v>
      </c>
      <c r="D179" s="2">
        <v>501</v>
      </c>
      <c r="E179" s="30" cm="1">
        <f t="array" ref="E179">MMULT($E$1/100,F179)+22.58+20</f>
        <v>422.43939999999998</v>
      </c>
      <c r="F179" s="246">
        <v>0.72770000000000001</v>
      </c>
    </row>
    <row r="180" spans="3:6" x14ac:dyDescent="0.45">
      <c r="C180" s="5" t="s">
        <v>11</v>
      </c>
      <c r="D180" s="2">
        <v>502</v>
      </c>
      <c r="E180" s="30" cm="1">
        <f t="array" ref="E180">MMULT($E$1/100,F180)+22.58+20</f>
        <v>323.25939999999997</v>
      </c>
      <c r="F180" s="246">
        <v>0.53769999999999996</v>
      </c>
    </row>
    <row r="181" spans="3:6" x14ac:dyDescent="0.45">
      <c r="C181" s="5" t="s">
        <v>11</v>
      </c>
      <c r="D181" s="2">
        <v>503</v>
      </c>
      <c r="E181" s="30" cm="1">
        <f t="array" ref="E181">MMULT($E$1/100,F181)+22.58+20</f>
        <v>410.32900000000001</v>
      </c>
      <c r="F181" s="246">
        <v>0.70450000000000002</v>
      </c>
    </row>
    <row r="182" spans="3:6" x14ac:dyDescent="0.45">
      <c r="C182" s="5" t="s">
        <v>11</v>
      </c>
      <c r="D182" s="2">
        <v>504</v>
      </c>
      <c r="E182" s="30" cm="1">
        <f t="array" ref="E182">MMULT($E$1/100,F182)+22.58+20</f>
        <v>319.44879999999995</v>
      </c>
      <c r="F182" s="246">
        <v>0.53039999999999998</v>
      </c>
    </row>
    <row r="183" spans="3:6" x14ac:dyDescent="0.45">
      <c r="E183" s="102">
        <f>SUM(E3:E182)</f>
        <v>59864.974199999946</v>
      </c>
      <c r="F183" s="247">
        <f>SUM(F3:F182)</f>
        <v>100.00110000000002</v>
      </c>
    </row>
    <row r="185" spans="3:6" x14ac:dyDescent="0.45">
      <c r="D185" t="s">
        <v>70</v>
      </c>
      <c r="E185" s="161">
        <f>MAX(E3:E182)</f>
        <v>477.7192</v>
      </c>
      <c r="F185" s="245">
        <f>MAX(F3:F182)</f>
        <v>0.83360000000000001</v>
      </c>
    </row>
    <row r="186" spans="3:6" x14ac:dyDescent="0.45">
      <c r="D186" t="s">
        <v>71</v>
      </c>
      <c r="E186" s="161">
        <f>MIN(E3:E183)</f>
        <v>310.00059999999996</v>
      </c>
      <c r="F186" s="245">
        <f>MIN(F3:F182)</f>
        <v>0.51229999999999998</v>
      </c>
    </row>
    <row r="188" spans="3:6" x14ac:dyDescent="0.45">
      <c r="E188" s="161">
        <f>SUM(E185,-E186)</f>
        <v>167.71860000000004</v>
      </c>
    </row>
  </sheetData>
  <mergeCells count="1">
    <mergeCell ref="E2:F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AS611"/>
  <sheetViews>
    <sheetView showGridLines="0" topLeftCell="A2" zoomScale="80" zoomScaleNormal="80" workbookViewId="0">
      <pane xSplit="3" ySplit="4" topLeftCell="Z6" activePane="bottomRight" state="frozen"/>
      <selection activeCell="A2" sqref="A2"/>
      <selection pane="topRight" activeCell="D2" sqref="D2"/>
      <selection pane="bottomLeft" activeCell="A5" sqref="A5"/>
      <selection pane="bottomRight" activeCell="AN4" sqref="AN4"/>
    </sheetView>
  </sheetViews>
  <sheetFormatPr baseColWidth="10" defaultRowHeight="15.75" x14ac:dyDescent="0.5"/>
  <cols>
    <col min="1" max="1" width="2.86328125" customWidth="1"/>
    <col min="2" max="2" width="7.73046875" style="14" customWidth="1"/>
    <col min="3" max="3" width="6.265625" style="14" customWidth="1"/>
    <col min="4" max="4" width="9.73046875" style="24" customWidth="1"/>
    <col min="5" max="5" width="9.73046875" style="13" customWidth="1"/>
    <col min="6" max="6" width="9.73046875" style="24" customWidth="1"/>
    <col min="7" max="35" width="9.73046875" style="13" customWidth="1"/>
    <col min="36" max="36" width="9.73046875" style="268" customWidth="1"/>
    <col min="37" max="38" width="9.73046875" style="13" customWidth="1"/>
    <col min="39" max="39" width="9.73046875" style="268" customWidth="1"/>
    <col min="40" max="40" width="13.265625" style="25" customWidth="1"/>
    <col min="42" max="42" width="11.3984375" style="102"/>
  </cols>
  <sheetData>
    <row r="2" spans="1:45" ht="18.399999999999999" thickBot="1" x14ac:dyDescent="0.6">
      <c r="D2" s="40" t="s">
        <v>12</v>
      </c>
      <c r="AN2" s="14"/>
    </row>
    <row r="3" spans="1:45" s="15" customFormat="1" ht="21.4" thickBot="1" x14ac:dyDescent="0.7">
      <c r="B3" s="305">
        <v>2025</v>
      </c>
      <c r="C3" s="305"/>
      <c r="D3" s="309" t="s">
        <v>21</v>
      </c>
      <c r="E3" s="310"/>
      <c r="F3" s="311"/>
      <c r="G3" s="309" t="s">
        <v>22</v>
      </c>
      <c r="H3" s="310"/>
      <c r="I3" s="311"/>
      <c r="J3" s="309" t="s">
        <v>23</v>
      </c>
      <c r="K3" s="310"/>
      <c r="L3" s="311"/>
      <c r="M3" s="306" t="s">
        <v>24</v>
      </c>
      <c r="N3" s="307"/>
      <c r="O3" s="308"/>
      <c r="P3" s="306" t="s">
        <v>25</v>
      </c>
      <c r="Q3" s="307"/>
      <c r="R3" s="308"/>
      <c r="S3" s="306" t="s">
        <v>26</v>
      </c>
      <c r="T3" s="307"/>
      <c r="U3" s="308"/>
      <c r="V3" s="306" t="s">
        <v>27</v>
      </c>
      <c r="W3" s="307"/>
      <c r="X3" s="308"/>
      <c r="Y3" s="306" t="s">
        <v>28</v>
      </c>
      <c r="Z3" s="307"/>
      <c r="AA3" s="308"/>
      <c r="AB3" s="306" t="s">
        <v>29</v>
      </c>
      <c r="AC3" s="307"/>
      <c r="AD3" s="308"/>
      <c r="AE3" s="306" t="s">
        <v>30</v>
      </c>
      <c r="AF3" s="307"/>
      <c r="AG3" s="308"/>
      <c r="AH3" s="306" t="s">
        <v>31</v>
      </c>
      <c r="AI3" s="307"/>
      <c r="AJ3" s="308"/>
      <c r="AK3" s="306" t="s">
        <v>32</v>
      </c>
      <c r="AL3" s="307"/>
      <c r="AM3" s="308"/>
      <c r="AN3" s="14"/>
      <c r="AP3" s="103"/>
    </row>
    <row r="4" spans="1:45" s="19" customFormat="1" ht="54.75" customHeight="1" thickBot="1" x14ac:dyDescent="0.5">
      <c r="B4" s="99" t="s">
        <v>66</v>
      </c>
      <c r="C4" s="115" t="s">
        <v>67</v>
      </c>
      <c r="D4" s="123" t="s">
        <v>65</v>
      </c>
      <c r="E4" s="124" t="s">
        <v>14</v>
      </c>
      <c r="F4" s="125" t="s">
        <v>15</v>
      </c>
      <c r="G4" s="126" t="s">
        <v>65</v>
      </c>
      <c r="H4" s="124" t="s">
        <v>14</v>
      </c>
      <c r="I4" s="127" t="s">
        <v>15</v>
      </c>
      <c r="J4" s="126" t="s">
        <v>65</v>
      </c>
      <c r="K4" s="124" t="s">
        <v>14</v>
      </c>
      <c r="L4" s="127" t="s">
        <v>15</v>
      </c>
      <c r="M4" s="126" t="s">
        <v>65</v>
      </c>
      <c r="N4" s="124" t="s">
        <v>14</v>
      </c>
      <c r="O4" s="127" t="s">
        <v>15</v>
      </c>
      <c r="P4" s="126" t="s">
        <v>65</v>
      </c>
      <c r="Q4" s="124" t="s">
        <v>14</v>
      </c>
      <c r="R4" s="127" t="s">
        <v>15</v>
      </c>
      <c r="S4" s="126" t="s">
        <v>65</v>
      </c>
      <c r="T4" s="124" t="s">
        <v>14</v>
      </c>
      <c r="U4" s="127" t="s">
        <v>15</v>
      </c>
      <c r="V4" s="126" t="s">
        <v>65</v>
      </c>
      <c r="W4" s="124" t="s">
        <v>14</v>
      </c>
      <c r="X4" s="127" t="s">
        <v>15</v>
      </c>
      <c r="Y4" s="126" t="s">
        <v>65</v>
      </c>
      <c r="Z4" s="124" t="s">
        <v>14</v>
      </c>
      <c r="AA4" s="127" t="s">
        <v>15</v>
      </c>
      <c r="AB4" s="126" t="s">
        <v>65</v>
      </c>
      <c r="AC4" s="124" t="s">
        <v>14</v>
      </c>
      <c r="AD4" s="127" t="s">
        <v>15</v>
      </c>
      <c r="AE4" s="143" t="s">
        <v>65</v>
      </c>
      <c r="AF4" s="124" t="s">
        <v>14</v>
      </c>
      <c r="AG4" s="144" t="s">
        <v>15</v>
      </c>
      <c r="AH4" s="146" t="s">
        <v>65</v>
      </c>
      <c r="AI4" s="148" t="s">
        <v>14</v>
      </c>
      <c r="AJ4" s="147" t="s">
        <v>15</v>
      </c>
      <c r="AK4" s="143" t="s">
        <v>65</v>
      </c>
      <c r="AL4" s="124" t="s">
        <v>14</v>
      </c>
      <c r="AM4" s="144" t="s">
        <v>15</v>
      </c>
      <c r="AN4" s="233" t="s">
        <v>349</v>
      </c>
      <c r="AP4" s="104"/>
      <c r="AS4"/>
    </row>
    <row r="5" spans="1:45" s="18" customFormat="1" ht="57.4" hidden="1" thickBot="1" x14ac:dyDescent="0.6">
      <c r="B5" s="129" t="s">
        <v>0</v>
      </c>
      <c r="C5" s="130" t="s">
        <v>1</v>
      </c>
      <c r="D5" s="131" t="s">
        <v>13</v>
      </c>
      <c r="E5" s="132" t="s">
        <v>14</v>
      </c>
      <c r="F5" s="133" t="s">
        <v>15</v>
      </c>
      <c r="G5" s="134" t="s">
        <v>34</v>
      </c>
      <c r="H5" s="135" t="s">
        <v>35</v>
      </c>
      <c r="I5" s="136" t="s">
        <v>36</v>
      </c>
      <c r="J5" s="137" t="s">
        <v>37</v>
      </c>
      <c r="K5" s="135" t="s">
        <v>38</v>
      </c>
      <c r="L5" s="138" t="s">
        <v>39</v>
      </c>
      <c r="M5" s="137" t="s">
        <v>40</v>
      </c>
      <c r="N5" s="139" t="s">
        <v>41</v>
      </c>
      <c r="O5" s="138" t="s">
        <v>44</v>
      </c>
      <c r="P5" s="137" t="s">
        <v>42</v>
      </c>
      <c r="Q5" s="139" t="s">
        <v>43</v>
      </c>
      <c r="R5" s="138" t="s">
        <v>268</v>
      </c>
      <c r="S5" s="137" t="s">
        <v>45</v>
      </c>
      <c r="T5" s="139" t="s">
        <v>46</v>
      </c>
      <c r="U5" s="138" t="s">
        <v>47</v>
      </c>
      <c r="V5" s="137" t="s">
        <v>48</v>
      </c>
      <c r="W5" s="139" t="s">
        <v>272</v>
      </c>
      <c r="X5" s="138" t="s">
        <v>49</v>
      </c>
      <c r="Y5" s="137" t="s">
        <v>50</v>
      </c>
      <c r="Z5" s="139" t="s">
        <v>51</v>
      </c>
      <c r="AA5" s="138" t="s">
        <v>52</v>
      </c>
      <c r="AB5" s="137" t="s">
        <v>53</v>
      </c>
      <c r="AC5" s="139" t="s">
        <v>54</v>
      </c>
      <c r="AD5" s="138" t="s">
        <v>55</v>
      </c>
      <c r="AE5" s="140" t="s">
        <v>56</v>
      </c>
      <c r="AF5" s="139" t="s">
        <v>57</v>
      </c>
      <c r="AG5" s="141" t="s">
        <v>58</v>
      </c>
      <c r="AH5" s="137" t="s">
        <v>59</v>
      </c>
      <c r="AI5" s="139" t="s">
        <v>60</v>
      </c>
      <c r="AJ5" s="269" t="s">
        <v>61</v>
      </c>
      <c r="AK5" s="140" t="s">
        <v>62</v>
      </c>
      <c r="AL5" s="139" t="s">
        <v>63</v>
      </c>
      <c r="AM5" s="271" t="s">
        <v>64</v>
      </c>
      <c r="AN5" s="142" t="s">
        <v>16</v>
      </c>
      <c r="AP5" s="105"/>
      <c r="AS5"/>
    </row>
    <row r="6" spans="1:45" ht="16.149999999999999" thickBot="1" x14ac:dyDescent="0.5">
      <c r="A6" s="313"/>
      <c r="B6" s="16" t="s">
        <v>3</v>
      </c>
      <c r="C6" s="116">
        <v>101</v>
      </c>
      <c r="D6" s="118">
        <f>SUM('Ene 25'!L3)-('Pago Cuota MC 2024'!F3)</f>
        <v>325.81181413326095</v>
      </c>
      <c r="E6" s="108">
        <f>SUM('Pago Cuota MC 2025'!F3)</f>
        <v>325.81</v>
      </c>
      <c r="F6" s="119">
        <f>SUM(-D6,E6)</f>
        <v>-1.814133260950257E-3</v>
      </c>
      <c r="G6" s="118">
        <f>SUM('Feb 25'!L3)</f>
        <v>371.58629462403877</v>
      </c>
      <c r="H6" s="108">
        <f>SUM('Pago Cuota MC 2025'!G3)</f>
        <v>300.58999999999997</v>
      </c>
      <c r="I6" s="119">
        <f>SUM(-G6,H6)+Tabla3[[#This Row],[Saldo]]</f>
        <v>-70.998108757299747</v>
      </c>
      <c r="J6" s="118">
        <f>SUM('Mar 25'!L3)</f>
        <v>373.1223377371864</v>
      </c>
      <c r="K6" s="108">
        <f>SUM('Pago Cuota MC 2025'!H3)</f>
        <v>444.12</v>
      </c>
      <c r="L6" s="119">
        <f>SUM(-J6,K6)+Tabla3[[#This Row],[Saldo4]]</f>
        <v>-4.4649448614109133E-4</v>
      </c>
      <c r="M6" s="122">
        <f>SUM('Abr 25'!L3)</f>
        <v>366.44724743237981</v>
      </c>
      <c r="N6" s="108">
        <f>SUM('Pago Cuota MC 2025'!I3)</f>
        <v>366.45</v>
      </c>
      <c r="O6" s="119">
        <f>SUM(-M6,N6)+Tabla3[[#This Row],[Saldo7]]</f>
        <v>2.3060731340365237E-3</v>
      </c>
      <c r="P6" s="122">
        <f>SUM('May 25'!L3)</f>
        <v>378.7608274603175</v>
      </c>
      <c r="Q6" s="108">
        <f>SUM('Pago Cuota MC 2025'!J3)</f>
        <v>378.76</v>
      </c>
      <c r="R6" s="119">
        <f>SUM(-P6,Q6)+Tabla3[[#This Row],[Saldo13]]</f>
        <v>1.4786128165269474E-3</v>
      </c>
      <c r="S6" s="122">
        <f>SUM('Jun 25'!L3)</f>
        <v>367.47632865832884</v>
      </c>
      <c r="T6" s="108">
        <f>SUM('Pago Cuota MC 2025'!K3)</f>
        <v>367.47</v>
      </c>
      <c r="U6" s="119">
        <f>SUM(-S6,T6)+Tabla3[[#This Row],[Saldo132]]</f>
        <v>-4.8500455122848507E-3</v>
      </c>
      <c r="V6" s="122">
        <f>SUM('Jul 25'!L3)</f>
        <v>364.96460424776001</v>
      </c>
      <c r="W6" s="108">
        <f>SUM('Pago Cuota MC 2025'!L3)</f>
        <v>364.97</v>
      </c>
      <c r="X6" s="119">
        <f>SUM(-V6,W6)+Tabla3[[#This Row],[Saldo16]]</f>
        <v>5.45706727734796E-4</v>
      </c>
      <c r="Y6" s="122">
        <f>SUM('Ago 25'!L3)</f>
        <v>363.453342978602</v>
      </c>
      <c r="Z6" s="108">
        <f>SUM('Pago Cuota MC 2025'!M3)</f>
        <v>363.45</v>
      </c>
      <c r="AA6" s="119">
        <f>SUM(-Y6,Z6)+Tabla3[[#This Row],[Saldo19]]</f>
        <v>-2.7972718742717007E-3</v>
      </c>
      <c r="AB6" s="122">
        <f>SUM('Sep 25'!L3)</f>
        <v>369.18166511041005</v>
      </c>
      <c r="AC6" s="108">
        <f>SUM('Pago Cuota MC 2025'!N3)</f>
        <v>369.18</v>
      </c>
      <c r="AD6" s="119">
        <f>SUM(-AB6,AC6)+Tabla3[[#This Row],[Saldo22]]</f>
        <v>-4.4623822843163907E-3</v>
      </c>
      <c r="AE6" s="122">
        <f>SUM('Oct 25'!L3)</f>
        <v>365.37243563047696</v>
      </c>
      <c r="AF6" s="108">
        <f>SUM('Pago Cuota MC 2025'!O3)</f>
        <v>365.38</v>
      </c>
      <c r="AG6" s="145">
        <f>SUM(-AE6,AF6)+Tabla3[[#This Row],[Saldo25]]</f>
        <v>3.1019872387219039E-3</v>
      </c>
      <c r="AH6" s="122">
        <f>SUM('Nov 25'!L3)</f>
        <v>375.04181867675914</v>
      </c>
      <c r="AI6" s="108">
        <f>SUM('Pago Cuota MC 2025'!P3)</f>
        <v>375.04</v>
      </c>
      <c r="AJ6" s="119">
        <f>SUM(-AH6,AI6)+Tabla3[[#This Row],[Saldo28]]</f>
        <v>1.2833104796072803E-3</v>
      </c>
      <c r="AK6" s="122">
        <f>SUM('Dic 25'!L3)</f>
        <v>376.95179433523793</v>
      </c>
      <c r="AL6" s="108">
        <f>SUM('Pago Cuota MC 2025'!Q3)</f>
        <v>376.95</v>
      </c>
      <c r="AM6" s="119">
        <f>SUM(-AK6,AL6)+Tabla3[[#This Row],[Saldo31]]</f>
        <v>-5.1102475833886274E-4</v>
      </c>
      <c r="AN6" s="128">
        <f>SUM(AM6)</f>
        <v>-5.1102475833886274E-4</v>
      </c>
      <c r="AO6" s="29"/>
      <c r="AP6" s="106" t="s">
        <v>12</v>
      </c>
    </row>
    <row r="7" spans="1:45" ht="16.149999999999999" thickBot="1" x14ac:dyDescent="0.5">
      <c r="A7" s="313"/>
      <c r="B7" s="16" t="s">
        <v>3</v>
      </c>
      <c r="C7" s="116">
        <v>102</v>
      </c>
      <c r="D7" s="118">
        <f>SUM('Ene 25'!L4)-('Pago Cuota MC 2024'!F4)</f>
        <v>323.73154120205902</v>
      </c>
      <c r="E7" s="108">
        <f>SUM('Pago Cuota MC 2025'!F4)</f>
        <v>350</v>
      </c>
      <c r="F7" s="119">
        <f t="shared" ref="F7:F37" si="0">SUM(-D7,E7)</f>
        <v>26.26845879794098</v>
      </c>
      <c r="G7" s="118">
        <f>SUM('Feb 25'!L4)</f>
        <v>365.8066873896326</v>
      </c>
      <c r="H7" s="108">
        <f>SUM('Pago Cuota MC 2025'!G4)</f>
        <v>350</v>
      </c>
      <c r="I7" s="119">
        <f>SUM(-G7,H7)+Tabla3[[#This Row],[Saldo]]</f>
        <v>10.46177140830838</v>
      </c>
      <c r="J7" s="118">
        <f>SUM('Mar 25'!L4)</f>
        <v>361.20075812977092</v>
      </c>
      <c r="K7" s="108">
        <f>SUM('Pago Cuota MC 2025'!H4)</f>
        <v>350</v>
      </c>
      <c r="L7" s="119">
        <f>SUM(-J7,K7)+Tabla3[[#This Row],[Saldo4]]</f>
        <v>-0.7389867214625383</v>
      </c>
      <c r="M7" s="122">
        <f>SUM('Abr 25'!L4)</f>
        <v>355.96014214925083</v>
      </c>
      <c r="N7" s="108">
        <f>SUM('Pago Cuota MC 2025'!I4)</f>
        <v>350</v>
      </c>
      <c r="O7" s="119">
        <f>SUM(-M7,N7)+Tabla3[[#This Row],[Saldo7]]</f>
        <v>-6.6991288707133663</v>
      </c>
      <c r="P7" s="122">
        <f>SUM('May 25'!L4)</f>
        <v>371.61636079365081</v>
      </c>
      <c r="Q7" s="108">
        <f>SUM('Pago Cuota MC 2025'!J4)</f>
        <v>350</v>
      </c>
      <c r="R7" s="119">
        <f>SUM(-P7,Q7)+Tabla3[[#This Row],[Saldo13]]</f>
        <v>-28.315489664364179</v>
      </c>
      <c r="S7" s="122">
        <f>SUM('Jun 25'!L4)</f>
        <v>365.52332997624171</v>
      </c>
      <c r="T7" s="108">
        <f>SUM('Pago Cuota MC 2025'!K4)</f>
        <v>350</v>
      </c>
      <c r="U7" s="119">
        <f>SUM(-S7,T7)+Tabla3[[#This Row],[Saldo132]]</f>
        <v>-43.838819640605891</v>
      </c>
      <c r="V7" s="122">
        <f>SUM('Jul 25'!L4)</f>
        <v>362.57334940089288</v>
      </c>
      <c r="W7" s="108">
        <f>SUM('Pago Cuota MC 2025'!L4)</f>
        <v>350</v>
      </c>
      <c r="X7" s="119">
        <f>SUM(-V7,W7)+Tabla3[[#This Row],[Saldo16]]</f>
        <v>-56.412169041498771</v>
      </c>
      <c r="Y7" s="122">
        <f>SUM('Ago 25'!L4)</f>
        <v>370.1609668302425</v>
      </c>
      <c r="Z7" s="108">
        <f>SUM('Pago Cuota MC 2025'!M4)</f>
        <v>0</v>
      </c>
      <c r="AA7" s="119">
        <f>SUM(-Y7,Z7)+Tabla3[[#This Row],[Saldo19]]</f>
        <v>-426.57313587174127</v>
      </c>
      <c r="AB7" s="122">
        <f>SUM('Sep 25'!L4)</f>
        <v>368.1474720504732</v>
      </c>
      <c r="AC7" s="108">
        <f>SUM('Pago Cuota MC 2025'!N4)</f>
        <v>1050</v>
      </c>
      <c r="AD7" s="119">
        <f>SUM(-AB7,AC7)+Tabla3[[#This Row],[Saldo22]]</f>
        <v>255.27939207778553</v>
      </c>
      <c r="AE7" s="122">
        <f>SUM('Oct 25'!L4)</f>
        <v>354.38763472740652</v>
      </c>
      <c r="AF7" s="108">
        <f>SUM('Pago Cuota MC 2025'!O4)</f>
        <v>90.5</v>
      </c>
      <c r="AG7" s="145">
        <f>SUM(-AE7,AF7)+Tabla3[[#This Row],[Saldo25]]</f>
        <v>-8.6082426496209905</v>
      </c>
      <c r="AH7" s="122">
        <f>SUM('Nov 25'!L4)</f>
        <v>359.07196358844965</v>
      </c>
      <c r="AI7" s="108">
        <f>SUM('Pago Cuota MC 2025'!P4)</f>
        <v>350</v>
      </c>
      <c r="AJ7" s="119">
        <f>SUM(-AH7,AI7)+Tabla3[[#This Row],[Saldo28]]</f>
        <v>-17.680206238070639</v>
      </c>
      <c r="AK7" s="122">
        <f>SUM('Dic 25'!L4)</f>
        <v>531.22439353346851</v>
      </c>
      <c r="AL7" s="108">
        <f>SUM('Pago Cuota MC 2025'!Q4)</f>
        <v>0</v>
      </c>
      <c r="AM7" s="145">
        <f>SUM(-AK7,AL7)+Tabla3[[#This Row],[Saldo31]]</f>
        <v>-548.9045997715391</v>
      </c>
      <c r="AN7" s="128">
        <f>SUM(AM7)</f>
        <v>-548.9045997715391</v>
      </c>
      <c r="AO7" s="29"/>
      <c r="AP7" s="106">
        <f>SUM(Tabla3[[#This Row],[Saldo Anual]])</f>
        <v>-548.9045997715391</v>
      </c>
    </row>
    <row r="8" spans="1:45" ht="16.149999999999999" thickBot="1" x14ac:dyDescent="0.5">
      <c r="A8" s="313"/>
      <c r="B8" s="16" t="s">
        <v>3</v>
      </c>
      <c r="C8" s="116">
        <v>103</v>
      </c>
      <c r="D8" s="118">
        <f>SUM('Ene 25'!L5)-('Pago Cuota MC 2024'!F5)</f>
        <v>264.79313304294271</v>
      </c>
      <c r="E8" s="108">
        <f>SUM('Pago Cuota MC 2025'!F5)</f>
        <v>0</v>
      </c>
      <c r="F8" s="119">
        <f t="shared" si="0"/>
        <v>-264.79313304294271</v>
      </c>
      <c r="G8" s="118">
        <f>SUM('Feb 25'!L5)</f>
        <v>370.13266161350043</v>
      </c>
      <c r="H8" s="108">
        <f>SUM('Pago Cuota MC 2025'!G5)</f>
        <v>700</v>
      </c>
      <c r="I8" s="119">
        <f>SUM(-G8,H8)+Tabla3[[#This Row],[Saldo]]</f>
        <v>65.074205343556855</v>
      </c>
      <c r="J8" s="118">
        <f>SUM('Mar 25'!L5)</f>
        <v>373.63622274263901</v>
      </c>
      <c r="K8" s="108">
        <f>SUM('Pago Cuota MC 2025'!H5)</f>
        <v>700</v>
      </c>
      <c r="L8" s="119">
        <f>SUM(-J8,K8)+Tabla3[[#This Row],[Saldo4]]</f>
        <v>391.43798260091785</v>
      </c>
      <c r="M8" s="122">
        <f>SUM('Abr 25'!L5)</f>
        <v>369.15222343938507</v>
      </c>
      <c r="N8" s="108">
        <f>SUM('Pago Cuota MC 2025'!I5)</f>
        <v>0</v>
      </c>
      <c r="O8" s="119">
        <f>SUM(-M8,N8)+Tabla3[[#This Row],[Saldo7]]</f>
        <v>22.285759161532781</v>
      </c>
      <c r="P8" s="122">
        <f>SUM('May 25'!L5)</f>
        <v>377.61260960317463</v>
      </c>
      <c r="Q8" s="108">
        <f>SUM('Pago Cuota MC 2025'!J5)</f>
        <v>380</v>
      </c>
      <c r="R8" s="119">
        <f>SUM(-P8,Q8)+Tabla3[[#This Row],[Saldo13]]</f>
        <v>24.673149558358148</v>
      </c>
      <c r="S8" s="122">
        <f>SUM('Jun 25'!L5)</f>
        <v>379.67493772234178</v>
      </c>
      <c r="T8" s="108">
        <f>SUM('Pago Cuota MC 2025'!K5)</f>
        <v>370</v>
      </c>
      <c r="U8" s="119">
        <f>SUM(-S8,T8)+Tabla3[[#This Row],[Saldo132]]</f>
        <v>14.998211836016367</v>
      </c>
      <c r="V8" s="122">
        <f>SUM('Jul 25'!L5)</f>
        <v>366.08574996284852</v>
      </c>
      <c r="W8" s="108">
        <f>SUM('Pago Cuota MC 2025'!L5)</f>
        <v>360</v>
      </c>
      <c r="X8" s="119">
        <f>SUM(-V8,W8)+Tabla3[[#This Row],[Saldo16]]</f>
        <v>8.9124618731678424</v>
      </c>
      <c r="Y8" s="122">
        <f>SUM('Ago 25'!L5)</f>
        <v>360.36429647360916</v>
      </c>
      <c r="Z8" s="108">
        <f>SUM('Pago Cuota MC 2025'!M5)</f>
        <v>380</v>
      </c>
      <c r="AA8" s="119">
        <f>SUM(-Y8,Z8)+Tabla3[[#This Row],[Saldo19]]</f>
        <v>28.548165399558684</v>
      </c>
      <c r="AB8" s="122">
        <f>SUM('Sep 25'!L5)</f>
        <v>361.64687646687696</v>
      </c>
      <c r="AC8" s="108">
        <f>SUM('Pago Cuota MC 2025'!N5)</f>
        <v>350</v>
      </c>
      <c r="AD8" s="119">
        <f>SUM(-AB8,AC8)+Tabla3[[#This Row],[Saldo22]]</f>
        <v>16.901288932681723</v>
      </c>
      <c r="AE8" s="122">
        <f>SUM('Oct 25'!L5)</f>
        <v>357.87137482373402</v>
      </c>
      <c r="AF8" s="108">
        <f>SUM('Pago Cuota MC 2025'!O5)</f>
        <v>350</v>
      </c>
      <c r="AG8" s="145">
        <f>SUM(-AE8,AF8)+Tabla3[[#This Row],[Saldo25]]</f>
        <v>9.0299141089477075</v>
      </c>
      <c r="AH8" s="122">
        <f>SUM('Nov 25'!L5)</f>
        <v>366.4713694757499</v>
      </c>
      <c r="AI8" s="108">
        <f>SUM('Pago Cuota MC 2025'!P5)</f>
        <v>360</v>
      </c>
      <c r="AJ8" s="119">
        <f>SUM(-AH8,AI8)+Tabla3[[#This Row],[Saldo28]]</f>
        <v>2.5585446331978119</v>
      </c>
      <c r="AK8" s="122">
        <f>SUM('Dic 25'!L5)</f>
        <v>357.31938667695761</v>
      </c>
      <c r="AL8" s="108">
        <f>SUM('Pago Cuota MC 2025'!Q5)</f>
        <v>0</v>
      </c>
      <c r="AM8" s="145">
        <f>SUM(-AK8,AL8)+Tabla3[[#This Row],[Saldo31]]</f>
        <v>-354.76084204375979</v>
      </c>
      <c r="AN8" s="128">
        <f t="shared" ref="AN8:AN37" si="1">SUM(AM8)</f>
        <v>-354.76084204375979</v>
      </c>
      <c r="AO8" s="29"/>
      <c r="AP8" s="106">
        <f>SUM(Tabla3[[#This Row],[Saldo Anual]])</f>
        <v>-354.76084204375979</v>
      </c>
    </row>
    <row r="9" spans="1:45" ht="16.149999999999999" thickBot="1" x14ac:dyDescent="0.5">
      <c r="A9" s="313"/>
      <c r="B9" s="16" t="s">
        <v>3</v>
      </c>
      <c r="C9" s="116">
        <v>104</v>
      </c>
      <c r="D9" s="118">
        <f>SUM('Ene 25'!L6)-('Pago Cuota MC 2024'!F6)</f>
        <v>278.28224773215493</v>
      </c>
      <c r="E9" s="108">
        <f>SUM('Pago Cuota MC 2025'!F6)</f>
        <v>350</v>
      </c>
      <c r="F9" s="119">
        <f t="shared" si="0"/>
        <v>71.717752267845071</v>
      </c>
      <c r="G9" s="118">
        <f>SUM('Feb 25'!L6)</f>
        <v>349.25386098689836</v>
      </c>
      <c r="H9" s="108">
        <f>SUM('Pago Cuota MC 2025'!G6)</f>
        <v>350</v>
      </c>
      <c r="I9" s="119">
        <f>SUM(-G9,H9)+Tabla3[[#This Row],[Saldo]]</f>
        <v>72.463891280946712</v>
      </c>
      <c r="J9" s="118">
        <f>SUM('Mar 25'!L6)</f>
        <v>356.97902383315153</v>
      </c>
      <c r="K9" s="108">
        <f>SUM('Pago Cuota MC 2025'!H6)</f>
        <v>350</v>
      </c>
      <c r="L9" s="119">
        <f>SUM(-J9,K9)+Tabla3[[#This Row],[Saldo4]]</f>
        <v>65.484867447795182</v>
      </c>
      <c r="M9" s="122">
        <f>SUM('Abr 25'!L6)</f>
        <v>369.80604889180773</v>
      </c>
      <c r="N9" s="108">
        <f>SUM('Pago Cuota MC 2025'!I6)</f>
        <v>350</v>
      </c>
      <c r="O9" s="119">
        <f>SUM(-M9,N9)+Tabla3[[#This Row],[Saldo7]]</f>
        <v>45.678818555987448</v>
      </c>
      <c r="P9" s="122">
        <f>SUM('May 25'!L6)</f>
        <v>393.74116079365081</v>
      </c>
      <c r="Q9" s="108">
        <f>SUM('Pago Cuota MC 2025'!J6)</f>
        <v>350</v>
      </c>
      <c r="R9" s="119">
        <f>SUM(-P9,Q9)+Tabla3[[#This Row],[Saldo13]]</f>
        <v>1.9376577623366416</v>
      </c>
      <c r="S9" s="122">
        <f>SUM('Jun 25'!L6)</f>
        <v>372.53907169221804</v>
      </c>
      <c r="T9" s="108">
        <f>SUM('Pago Cuota MC 2025'!K6)</f>
        <v>370</v>
      </c>
      <c r="U9" s="119">
        <f>SUM(-S9,T9)+Tabla3[[#This Row],[Saldo132]]</f>
        <v>-0.60141392988140296</v>
      </c>
      <c r="V9" s="122">
        <f>SUM('Jul 25'!L6)</f>
        <v>368.01051411008086</v>
      </c>
      <c r="W9" s="108">
        <f>SUM('Pago Cuota MC 2025'!L6)</f>
        <v>369</v>
      </c>
      <c r="X9" s="119">
        <f>SUM(-V9,W9)+Tabla3[[#This Row],[Saldo16]]</f>
        <v>0.3880719600377347</v>
      </c>
      <c r="Y9" s="122">
        <f>SUM('Ago 25'!L6)</f>
        <v>365.80336443366622</v>
      </c>
      <c r="Z9" s="108">
        <f>SUM('Pago Cuota MC 2025'!M6)</f>
        <v>400</v>
      </c>
      <c r="AA9" s="119">
        <f>SUM(-Y9,Z9)+Tabla3[[#This Row],[Saldo19]]</f>
        <v>34.584707526371517</v>
      </c>
      <c r="AB9" s="122">
        <f>SUM('Sep 25'!L6)</f>
        <v>359.13398561514191</v>
      </c>
      <c r="AC9" s="108">
        <f>SUM('Pago Cuota MC 2025'!N6)</f>
        <v>350</v>
      </c>
      <c r="AD9" s="119">
        <f>SUM(-AB9,AC9)+Tabla3[[#This Row],[Saldo22]]</f>
        <v>25.450721911229607</v>
      </c>
      <c r="AE9" s="122">
        <f>SUM('Oct 25'!L6)</f>
        <v>355.36973237942334</v>
      </c>
      <c r="AF9" s="108">
        <f>SUM('Pago Cuota MC 2025'!O6)</f>
        <v>350</v>
      </c>
      <c r="AG9" s="145">
        <f>SUM(-AE9,AF9)+Tabla3[[#This Row],[Saldo25]]</f>
        <v>20.080989531806267</v>
      </c>
      <c r="AH9" s="122">
        <f>SUM('Nov 25'!L6)</f>
        <v>368.37282624614522</v>
      </c>
      <c r="AI9" s="108">
        <f>SUM('Pago Cuota MC 2025'!P6)</f>
        <v>350</v>
      </c>
      <c r="AJ9" s="119">
        <f>SUM(-AH9,AI9)+Tabla3[[#This Row],[Saldo28]]</f>
        <v>1.708163285661044</v>
      </c>
      <c r="AK9" s="122">
        <f>SUM('Dic 25'!L6)</f>
        <v>366.00952748425647</v>
      </c>
      <c r="AL9" s="108">
        <f>SUM('Pago Cuota MC 2025'!Q6)</f>
        <v>400</v>
      </c>
      <c r="AM9" s="145">
        <f>SUM(-AK9,AL9)+Tabla3[[#This Row],[Saldo31]]</f>
        <v>35.698635801404578</v>
      </c>
      <c r="AN9" s="128">
        <f>SUM(AM9)</f>
        <v>35.698635801404578</v>
      </c>
      <c r="AO9" s="29"/>
      <c r="AP9" s="106" t="s">
        <v>12</v>
      </c>
      <c r="AQ9" t="s">
        <v>12</v>
      </c>
    </row>
    <row r="10" spans="1:45" ht="16.149999999999999" thickBot="1" x14ac:dyDescent="0.5">
      <c r="A10" s="313"/>
      <c r="B10" s="16" t="s">
        <v>3</v>
      </c>
      <c r="C10" s="116">
        <v>201</v>
      </c>
      <c r="D10" s="118">
        <f>SUM('Ene 25'!L7)-('Pago Cuota MC 2024'!F7)</f>
        <v>332.38559387246806</v>
      </c>
      <c r="E10" s="108">
        <f>SUM('Pago Cuota MC 2025'!F7)</f>
        <v>332.39</v>
      </c>
      <c r="F10" s="119">
        <f t="shared" si="0"/>
        <v>4.4061275319222659E-3</v>
      </c>
      <c r="G10" s="118">
        <f>SUM('Feb 25'!L7)</f>
        <v>360.34773495442897</v>
      </c>
      <c r="H10" s="108">
        <f>SUM('Pago Cuota MC 2025'!G7)</f>
        <v>0</v>
      </c>
      <c r="I10" s="119">
        <f>SUM(-G10,H10)+Tabla3[[#This Row],[Saldo]]</f>
        <v>-360.34332882689705</v>
      </c>
      <c r="J10" s="118">
        <f>SUM('Mar 25'!L7)</f>
        <v>383.41896276444925</v>
      </c>
      <c r="K10" s="108">
        <f>SUM('Pago Cuota MC 2025'!H7)</f>
        <v>743.76</v>
      </c>
      <c r="L10" s="119">
        <f>SUM(-J10,K10)+Tabla3[[#This Row],[Saldo4]]</f>
        <v>-2.2915913463066317E-3</v>
      </c>
      <c r="M10" s="122">
        <f>SUM('Abr 25'!L7)</f>
        <v>394.02926958649539</v>
      </c>
      <c r="N10" s="108">
        <f>SUM('Pago Cuota MC 2025'!I7)</f>
        <v>394.03</v>
      </c>
      <c r="O10" s="119">
        <f>SUM(-M10,N10)+Tabla3[[#This Row],[Saldo7]]</f>
        <v>-1.5611778417223832E-3</v>
      </c>
      <c r="P10" s="122">
        <f>SUM('May 25'!L7)</f>
        <v>402.47420126984127</v>
      </c>
      <c r="Q10" s="108">
        <f>SUM('Pago Cuota MC 2025'!J7)</f>
        <v>402.48</v>
      </c>
      <c r="R10" s="119">
        <f>SUM(-P10,Q10)+Tabla3[[#This Row],[Saldo13]]</f>
        <v>4.2375523170221641E-3</v>
      </c>
      <c r="S10" s="122">
        <f>SUM('Jun 25'!L7)</f>
        <v>411.23459121884525</v>
      </c>
      <c r="T10" s="108">
        <f>SUM('Pago Cuota MC 2025'!K7)</f>
        <v>411.23</v>
      </c>
      <c r="U10" s="119">
        <f>SUM(-S10,T10)+Tabla3[[#This Row],[Saldo132]]</f>
        <v>-3.5366652821267053E-4</v>
      </c>
      <c r="V10" s="122">
        <f>SUM('Jul 25'!L7)</f>
        <v>399.34771287377856</v>
      </c>
      <c r="W10" s="108">
        <f>SUM('Pago Cuota MC 2025'!L7)</f>
        <v>500</v>
      </c>
      <c r="X10" s="119">
        <f>SUM(-V10,W10)+Tabla3[[#This Row],[Saldo16]]</f>
        <v>100.65193345969323</v>
      </c>
      <c r="Y10" s="122">
        <f>SUM('Ago 25'!L7)</f>
        <v>375.69613362054207</v>
      </c>
      <c r="Z10" s="108">
        <f>SUM('Pago Cuota MC 2025'!M7)</f>
        <v>275.04000000000002</v>
      </c>
      <c r="AA10" s="119">
        <f>SUM(-Y10,Z10)+Tabla3[[#This Row],[Saldo19]]</f>
        <v>-4.2001608488249076E-3</v>
      </c>
      <c r="AB10" s="122">
        <f>SUM('Sep 25'!L7)</f>
        <v>384.30561716088323</v>
      </c>
      <c r="AC10" s="108">
        <f>SUM('Pago Cuota MC 2025'!N7)</f>
        <v>384.31</v>
      </c>
      <c r="AD10" s="119">
        <f>SUM(-AB10,AC10)+Tabla3[[#This Row],[Saldo22]]</f>
        <v>1.8267826794726716E-4</v>
      </c>
      <c r="AE10" s="122">
        <f>SUM('Oct 25'!L7)</f>
        <v>380.42868861060936</v>
      </c>
      <c r="AF10" s="108">
        <f>SUM('Pago Cuota MC 2025'!O7)</f>
        <v>380.43</v>
      </c>
      <c r="AG10" s="145">
        <f>SUM(-AE10,AF10)+Tabla3[[#This Row],[Saldo25]]</f>
        <v>1.4940676585979418E-3</v>
      </c>
      <c r="AH10" s="122">
        <f>SUM('Nov 25'!L7)</f>
        <v>389.56275576675074</v>
      </c>
      <c r="AI10" s="108">
        <f>SUM('Pago Cuota MC 2025'!P7)</f>
        <v>389.56</v>
      </c>
      <c r="AJ10" s="119">
        <f>SUM(-AH10,AI10)+Tabla3[[#This Row],[Saldo28]]</f>
        <v>-1.2616990921401339E-3</v>
      </c>
      <c r="AK10" s="122">
        <f>SUM('Dic 25'!L7)</f>
        <v>382.43471899655947</v>
      </c>
      <c r="AL10" s="108">
        <f>SUM('Pago Cuota MC 2025'!Q7)</f>
        <v>0</v>
      </c>
      <c r="AM10" s="145">
        <f>SUM(-AK10,AL10)+Tabla3[[#This Row],[Saldo31]]</f>
        <v>-382.43598069565161</v>
      </c>
      <c r="AN10" s="128">
        <f t="shared" si="1"/>
        <v>-382.43598069565161</v>
      </c>
      <c r="AO10" s="29"/>
      <c r="AP10" s="106">
        <f>SUM(Tabla3[[#This Row],[Saldo Anual]])</f>
        <v>-382.43598069565161</v>
      </c>
    </row>
    <row r="11" spans="1:45" ht="16.149999999999999" thickBot="1" x14ac:dyDescent="0.5">
      <c r="A11" s="313"/>
      <c r="B11" s="16" t="s">
        <v>3</v>
      </c>
      <c r="C11" s="116">
        <v>202</v>
      </c>
      <c r="D11" s="118">
        <f>SUM('Ene 25'!L8)-('Pago Cuota MC 2024'!F8)</f>
        <v>3.3835694808885819E-3</v>
      </c>
      <c r="E11" s="108">
        <f>SUM('Pago Cuota MC 2025'!F8)</f>
        <v>0</v>
      </c>
      <c r="F11" s="119">
        <f t="shared" si="0"/>
        <v>-3.3835694808885819E-3</v>
      </c>
      <c r="G11" s="118">
        <f>SUM('Feb 25'!L8)</f>
        <v>395.38904782825409</v>
      </c>
      <c r="H11" s="108">
        <f>SUM('Pago Cuota MC 2025'!G8)</f>
        <v>395.39</v>
      </c>
      <c r="I11" s="119">
        <f>SUM(-G11,H11)+Tabla3[[#This Row],[Saldo]]</f>
        <v>-2.4313977349947891E-3</v>
      </c>
      <c r="J11" s="118">
        <f>SUM('Mar 25'!L8)</f>
        <v>386.55083648309699</v>
      </c>
      <c r="K11" s="108">
        <f>SUM('Pago Cuota MC 2025'!H8)</f>
        <v>387</v>
      </c>
      <c r="L11" s="119">
        <f>SUM(-J11,K11)+Tabla3[[#This Row],[Saldo4]]</f>
        <v>0.44673211916801847</v>
      </c>
      <c r="M11" s="122">
        <f>SUM('Abr 25'!L8)</f>
        <v>395.40369439676977</v>
      </c>
      <c r="N11" s="108">
        <f>SUM('Pago Cuota MC 2025'!I8)</f>
        <v>395</v>
      </c>
      <c r="O11" s="119">
        <f>SUM(-M11,N11)+Tabla3[[#This Row],[Saldo7]]</f>
        <v>4.3037722398253209E-2</v>
      </c>
      <c r="P11" s="122">
        <f>SUM('May 25'!L8)</f>
        <v>405.60607865079368</v>
      </c>
      <c r="Q11" s="108">
        <f>SUM('Pago Cuota MC 2025'!J8)</f>
        <v>406</v>
      </c>
      <c r="R11" s="119">
        <f>SUM(-P11,Q11)+Tabla3[[#This Row],[Saldo13]]</f>
        <v>0.43695907160457637</v>
      </c>
      <c r="S11" s="122">
        <f>SUM('Jun 25'!L8)</f>
        <v>394.40631859915726</v>
      </c>
      <c r="T11" s="108">
        <f>SUM('Pago Cuota MC 2025'!K8)</f>
        <v>394</v>
      </c>
      <c r="U11" s="119">
        <f>SUM(-S11,T11)+Tabla3[[#This Row],[Saldo132]]</f>
        <v>3.0640472447316824E-2</v>
      </c>
      <c r="V11" s="122">
        <f>SUM('Jul 25'!L8)</f>
        <v>386.94846847928568</v>
      </c>
      <c r="W11" s="108">
        <f>SUM('Pago Cuota MC 2025'!L8)</f>
        <v>386.92</v>
      </c>
      <c r="X11" s="119">
        <f>SUM(-V11,W11)+Tabla3[[#This Row],[Saldo16]]</f>
        <v>2.171993161653063E-3</v>
      </c>
      <c r="Y11" s="122">
        <f>SUM('Ago 25'!L8)</f>
        <v>387.37976774322397</v>
      </c>
      <c r="Z11" s="108">
        <f>SUM('Pago Cuota MC 2025'!M8)</f>
        <v>387.38</v>
      </c>
      <c r="AA11" s="119">
        <f>SUM(-Y11,Z11)+Tabla3[[#This Row],[Saldo19]]</f>
        <v>2.4042499376832893E-3</v>
      </c>
      <c r="AB11" s="122">
        <f>SUM('Sep 25'!L8)</f>
        <v>388.24778750788641</v>
      </c>
      <c r="AC11" s="108">
        <f>SUM('Pago Cuota MC 2025'!N8)</f>
        <v>388.25</v>
      </c>
      <c r="AD11" s="119">
        <f>SUM(-AB11,AC11)+Tabla3[[#This Row],[Saldo22]]</f>
        <v>4.6167420512688295E-3</v>
      </c>
      <c r="AE11" s="122">
        <f>SUM('Oct 25'!L8)</f>
        <v>384.35321269248777</v>
      </c>
      <c r="AF11" s="108">
        <f>SUM('Pago Cuota MC 2025'!O8)</f>
        <v>384.35</v>
      </c>
      <c r="AG11" s="145">
        <f>SUM(-AE11,AF11)+Tabla3[[#This Row],[Saldo25]]</f>
        <v>1.4040495635185835E-3</v>
      </c>
      <c r="AH11" s="122">
        <f>SUM('Nov 25'!L8)</f>
        <v>399.91557258760861</v>
      </c>
      <c r="AI11" s="108">
        <f>SUM('Pago Cuota MC 2025'!P8)</f>
        <v>400</v>
      </c>
      <c r="AJ11" s="119">
        <f>SUM(-AH11,AI11)+Tabla3[[#This Row],[Saldo28]]</f>
        <v>8.5831461954910537E-2</v>
      </c>
      <c r="AK11" s="122">
        <f>SUM('Dic 25'!L8)</f>
        <v>381.19270882238197</v>
      </c>
      <c r="AL11" s="108">
        <f>SUM('Pago Cuota MC 2025'!Q8)</f>
        <v>381.11</v>
      </c>
      <c r="AM11" s="145">
        <f>SUM(-AK11,AL11)+Tabla3[[#This Row],[Saldo31]]</f>
        <v>3.1226395729504475E-3</v>
      </c>
      <c r="AN11" s="128">
        <f t="shared" si="1"/>
        <v>3.1226395729504475E-3</v>
      </c>
      <c r="AO11" s="29"/>
      <c r="AP11" s="106" t="s">
        <v>12</v>
      </c>
      <c r="AQ11" t="s">
        <v>12</v>
      </c>
    </row>
    <row r="12" spans="1:45" ht="16.149999999999999" thickBot="1" x14ac:dyDescent="0.5">
      <c r="A12" s="313"/>
      <c r="B12" s="16" t="s">
        <v>3</v>
      </c>
      <c r="C12" s="116">
        <v>203</v>
      </c>
      <c r="D12" s="118">
        <f>SUM('Ene 25'!L9)-('Pago Cuota MC 2024'!F9)</f>
        <v>349.70924810353034</v>
      </c>
      <c r="E12" s="108">
        <f>SUM('Pago Cuota MC 2025'!F9)</f>
        <v>349.71</v>
      </c>
      <c r="F12" s="119">
        <f t="shared" si="0"/>
        <v>7.5189646963735868E-4</v>
      </c>
      <c r="G12" s="118">
        <f>SUM('Feb 25'!L9)</f>
        <v>412.37202091284536</v>
      </c>
      <c r="H12" s="108">
        <f>SUM('Pago Cuota MC 2025'!G9)</f>
        <v>412.37</v>
      </c>
      <c r="I12" s="119">
        <f>SUM(-G12,H12)+Tabla3[[#This Row],[Saldo]]</f>
        <v>-1.269016375715637E-3</v>
      </c>
      <c r="J12" s="118">
        <f>SUM('Mar 25'!L9)</f>
        <v>404.26795627589962</v>
      </c>
      <c r="K12" s="108">
        <f>SUM('Pago Cuota MC 2025'!H9)</f>
        <v>404.67</v>
      </c>
      <c r="L12" s="119">
        <f>SUM(-J12,K12)+Tabla3[[#This Row],[Saldo4]]</f>
        <v>0.40077470772467905</v>
      </c>
      <c r="M12" s="122">
        <f>SUM('Abr 25'!L9)</f>
        <v>409.48138283810079</v>
      </c>
      <c r="N12" s="108">
        <f>SUM('Pago Cuota MC 2025'!I9)</f>
        <v>409.08</v>
      </c>
      <c r="O12" s="119">
        <f>SUM(-M12,N12)+Tabla3[[#This Row],[Saldo7]]</f>
        <v>-6.0813037612206244E-4</v>
      </c>
      <c r="P12" s="122">
        <f>SUM('May 25'!L9)</f>
        <v>424.65250246031746</v>
      </c>
      <c r="Q12" s="108">
        <f>SUM('Pago Cuota MC 2025'!J9)</f>
        <v>424.65</v>
      </c>
      <c r="R12" s="119">
        <f>SUM(-P12,Q12)+Tabla3[[#This Row],[Saldo13]]</f>
        <v>-3.1105906936090832E-3</v>
      </c>
      <c r="S12" s="122">
        <f>SUM('Jun 25'!L9)</f>
        <v>416.84005396763496</v>
      </c>
      <c r="T12" s="108">
        <f>SUM('Pago Cuota MC 2025'!K9)</f>
        <v>416.84</v>
      </c>
      <c r="U12" s="119">
        <f>SUM(-S12,T12)+Tabla3[[#This Row],[Saldo132]]</f>
        <v>-3.164558328592193E-3</v>
      </c>
      <c r="V12" s="122">
        <f>SUM('Jul 25'!L9)</f>
        <v>418.52871281758297</v>
      </c>
      <c r="W12" s="108">
        <f>SUM('Pago Cuota MC 2025'!L9)</f>
        <v>418.53</v>
      </c>
      <c r="X12" s="119">
        <f>SUM(-V12,W12)+Tabla3[[#This Row],[Saldo16]]</f>
        <v>-1.8773759115902067E-3</v>
      </c>
      <c r="Y12" s="122">
        <f>SUM('Ago 25'!L9)</f>
        <v>393.91759781455062</v>
      </c>
      <c r="Z12" s="108">
        <f>SUM('Pago Cuota MC 2025'!M9)</f>
        <v>393.92</v>
      </c>
      <c r="AA12" s="119">
        <f>SUM(-Y12,Z12)+Tabla3[[#This Row],[Saldo19]]</f>
        <v>5.2480953780786876E-4</v>
      </c>
      <c r="AB12" s="122">
        <f>SUM('Sep 25'!L9)</f>
        <v>400.89380391167191</v>
      </c>
      <c r="AC12" s="108">
        <f>SUM('Pago Cuota MC 2025'!N9)</f>
        <v>400.89</v>
      </c>
      <c r="AD12" s="119">
        <f>SUM(-AB12,AC12)+Tabla3[[#This Row],[Saldo22]]</f>
        <v>-3.2791021341154192E-3</v>
      </c>
      <c r="AE12" s="122">
        <f>SUM('Oct 25'!L9)</f>
        <v>396.94262196401098</v>
      </c>
      <c r="AF12" s="108">
        <f>SUM('Pago Cuota MC 2025'!O9)</f>
        <v>396.95</v>
      </c>
      <c r="AG12" s="145">
        <f>SUM(-AE12,AF12)+Tabla3[[#This Row],[Saldo25]]</f>
        <v>4.0989338548911292E-3</v>
      </c>
      <c r="AH12" s="122">
        <f>SUM('Nov 25'!L9)</f>
        <v>415.32570866834874</v>
      </c>
      <c r="AI12" s="108">
        <f>SUM('Pago Cuota MC 2025'!P9)</f>
        <v>415.32</v>
      </c>
      <c r="AJ12" s="119">
        <f>SUM(-AH12,AI12)+Tabla3[[#This Row],[Saldo28]]</f>
        <v>-1.6097344938543756E-3</v>
      </c>
      <c r="AK12" s="122">
        <f>SUM('Dic 25'!L9)</f>
        <v>390.60604542730323</v>
      </c>
      <c r="AL12" s="108">
        <f>SUM('Pago Cuota MC 2025'!Q9)</f>
        <v>390.61</v>
      </c>
      <c r="AM12" s="145">
        <f>SUM(-AK12,AL12)+Tabla3[[#This Row],[Saldo31]]</f>
        <v>2.3448382029300774E-3</v>
      </c>
      <c r="AN12" s="128">
        <f t="shared" si="1"/>
        <v>2.3448382029300774E-3</v>
      </c>
      <c r="AO12" s="29"/>
      <c r="AP12" s="106" t="s">
        <v>12</v>
      </c>
    </row>
    <row r="13" spans="1:45" ht="16.149999999999999" thickBot="1" x14ac:dyDescent="0.5">
      <c r="A13" s="313"/>
      <c r="B13" s="16" t="s">
        <v>3</v>
      </c>
      <c r="C13" s="116">
        <v>204</v>
      </c>
      <c r="D13" s="118">
        <f>SUM('Ene 25'!L10)-('Pago Cuota MC 2024'!F10)</f>
        <v>332.03364731106473</v>
      </c>
      <c r="E13" s="108">
        <f>SUM('Pago Cuota MC 2025'!F10)</f>
        <v>332.03</v>
      </c>
      <c r="F13" s="119">
        <f t="shared" si="0"/>
        <v>-3.6473110647534668E-3</v>
      </c>
      <c r="G13" s="118">
        <f>SUM('Feb 25'!L10)</f>
        <v>381.32716175591003</v>
      </c>
      <c r="H13" s="108">
        <f>SUM('Pago Cuota MC 2025'!G10)</f>
        <v>381.33</v>
      </c>
      <c r="I13" s="119">
        <f>SUM(-G13,H13)+Tabla3[[#This Row],[Saldo]]</f>
        <v>-8.0906697479576906E-4</v>
      </c>
      <c r="J13" s="118">
        <f>SUM('Mar 25'!L10)</f>
        <v>371.59181151035983</v>
      </c>
      <c r="K13" s="108">
        <f>SUM('Pago Cuota MC 2025'!H10)</f>
        <v>371.59</v>
      </c>
      <c r="L13" s="119">
        <f>SUM(-J13,K13)+Tabla3[[#This Row],[Saldo4]]</f>
        <v>-2.6205773346532624E-3</v>
      </c>
      <c r="M13" s="122">
        <f>SUM('Abr 25'!L10)</f>
        <v>368.15917892683399</v>
      </c>
      <c r="N13" s="108">
        <f>SUM('Pago Cuota MC 2025'!I10)</f>
        <v>368.16</v>
      </c>
      <c r="O13" s="119">
        <f>SUM(-M13,N13)+Tabla3[[#This Row],[Saldo7]]</f>
        <v>-1.7995041686162949E-3</v>
      </c>
      <c r="P13" s="122">
        <f>SUM('May 25'!L10)</f>
        <v>400.76627865079365</v>
      </c>
      <c r="Q13" s="108">
        <f>SUM('Pago Cuota MC 2025'!J10)</f>
        <v>400.77</v>
      </c>
      <c r="R13" s="119">
        <f>SUM(-P13,Q13)+Tabla3[[#This Row],[Saldo13]]</f>
        <v>1.9218450377138652E-3</v>
      </c>
      <c r="S13" s="122">
        <f>SUM('Jun 25'!L10)</f>
        <v>381.45631313923258</v>
      </c>
      <c r="T13" s="108">
        <f>SUM('Pago Cuota MC 2025'!K10)</f>
        <v>381.45</v>
      </c>
      <c r="U13" s="119">
        <f>SUM(-S13,T13)+Tabla3[[#This Row],[Saldo132]]</f>
        <v>-4.3912941948747175E-3</v>
      </c>
      <c r="V13" s="122">
        <f>SUM('Jul 25'!L10)</f>
        <v>373.69072439386844</v>
      </c>
      <c r="W13" s="108">
        <f>SUM('Pago Cuota MC 2025'!L10)</f>
        <v>373.7</v>
      </c>
      <c r="X13" s="119">
        <f>SUM(-V13,W13)+Tabla3[[#This Row],[Saldo16]]</f>
        <v>4.884311936677932E-3</v>
      </c>
      <c r="Y13" s="122">
        <f>SUM('Ago 25'!L10)</f>
        <v>373.67847792867332</v>
      </c>
      <c r="Z13" s="108">
        <f>SUM('Pago Cuota MC 2025'!M10)</f>
        <v>373.67</v>
      </c>
      <c r="AA13" s="119">
        <f>SUM(-Y13,Z13)+Tabla3[[#This Row],[Saldo19]]</f>
        <v>-3.593616736623062E-3</v>
      </c>
      <c r="AB13" s="122">
        <f>SUM('Sep 25'!L10)</f>
        <v>401.6783540694006</v>
      </c>
      <c r="AC13" s="108">
        <f>SUM('Pago Cuota MC 2025'!N10)</f>
        <v>401.89</v>
      </c>
      <c r="AD13" s="119">
        <f>SUM(-AB13,AC13)+Tabla3[[#This Row],[Saldo22]]</f>
        <v>0.20805231386276546</v>
      </c>
      <c r="AE13" s="122">
        <f>SUM('Oct 25'!L10)</f>
        <v>397.72366025419757</v>
      </c>
      <c r="AF13" s="108">
        <f>SUM('Pago Cuota MC 2025'!O10)</f>
        <v>397.54</v>
      </c>
      <c r="AG13" s="145">
        <f>SUM(-AE13,AF13)+Tabla3[[#This Row],[Saldo25]]</f>
        <v>2.4392059665217403E-2</v>
      </c>
      <c r="AH13" s="122">
        <f>SUM('Nov 25'!L10)</f>
        <v>363.70850118306697</v>
      </c>
      <c r="AI13" s="108">
        <f>SUM('Pago Cuota MC 2025'!P10)</f>
        <v>363.68</v>
      </c>
      <c r="AJ13" s="119">
        <f>SUM(-AH13,AI13)+Tabla3[[#This Row],[Saldo28]]</f>
        <v>-4.1091234017471834E-3</v>
      </c>
      <c r="AK13" s="122">
        <f>SUM('Dic 25'!L10)</f>
        <v>356.31713163133969</v>
      </c>
      <c r="AL13" s="108">
        <f>SUM('Pago Cuota MC 2025'!Q10)</f>
        <v>356.32</v>
      </c>
      <c r="AM13" s="145">
        <f>SUM(-AK13,AL13)+Tabla3[[#This Row],[Saldo31]]</f>
        <v>-1.2407547414454712E-3</v>
      </c>
      <c r="AN13" s="128">
        <f t="shared" si="1"/>
        <v>-1.2407547414454712E-3</v>
      </c>
      <c r="AO13" s="29"/>
      <c r="AP13" s="106" t="s">
        <v>12</v>
      </c>
    </row>
    <row r="14" spans="1:45" ht="16.149999999999999" thickBot="1" x14ac:dyDescent="0.5">
      <c r="A14" s="313"/>
      <c r="B14" s="16" t="s">
        <v>3</v>
      </c>
      <c r="C14" s="116">
        <v>301</v>
      </c>
      <c r="D14" s="118">
        <f>SUM('Ene 25'!L11)-('Pago Cuota MC 2024'!F11)</f>
        <v>310.70459174537967</v>
      </c>
      <c r="E14" s="108">
        <f>SUM('Pago Cuota MC 2025'!F11)</f>
        <v>0</v>
      </c>
      <c r="F14" s="119">
        <f t="shared" si="0"/>
        <v>-310.70459174537967</v>
      </c>
      <c r="G14" s="118">
        <f>SUM('Feb 25'!L11)</f>
        <v>330.88764253061805</v>
      </c>
      <c r="H14" s="108">
        <f>SUM('Pago Cuota MC 2025'!G11)</f>
        <v>0</v>
      </c>
      <c r="I14" s="119">
        <f>SUM(-G14,H14)+Tabla3[[#This Row],[Saldo]]</f>
        <v>-641.59223427599773</v>
      </c>
      <c r="J14" s="118">
        <f>SUM('Mar 25'!L11)</f>
        <v>336.08521423664115</v>
      </c>
      <c r="K14" s="108">
        <f>SUM('Pago Cuota MC 2025'!H11)</f>
        <v>763.68999999999994</v>
      </c>
      <c r="L14" s="119">
        <f>SUM(-J14,K14)+Tabla3[[#This Row],[Saldo4]]</f>
        <v>-213.98744851263893</v>
      </c>
      <c r="M14" s="122">
        <f>SUM('Abr 25'!L11)</f>
        <v>326.72803987254326</v>
      </c>
      <c r="N14" s="108">
        <f>SUM('Pago Cuota MC 2025'!I11)</f>
        <v>400</v>
      </c>
      <c r="O14" s="119">
        <f>SUM(-M14,N14)+Tabla3[[#This Row],[Saldo7]]</f>
        <v>-140.7154883851822</v>
      </c>
      <c r="P14" s="122">
        <f>SUM('May 25'!L11)</f>
        <v>336.29734412698411</v>
      </c>
      <c r="Q14" s="108">
        <f>SUM('Pago Cuota MC 2025'!J11)</f>
        <v>400</v>
      </c>
      <c r="R14" s="119">
        <f>SUM(-P14,Q14)+Tabla3[[#This Row],[Saldo13]]</f>
        <v>-77.012832512166312</v>
      </c>
      <c r="S14" s="122">
        <f>SUM('Jun 25'!L11)</f>
        <v>327.72706136408465</v>
      </c>
      <c r="T14" s="108">
        <f>SUM('Pago Cuota MC 2025'!K11)</f>
        <v>0</v>
      </c>
      <c r="U14" s="119">
        <f>SUM(-S14,T14)+Tabla3[[#This Row],[Saldo132]]</f>
        <v>-404.73989387625096</v>
      </c>
      <c r="V14" s="122">
        <f>SUM('Jul 25'!L11)</f>
        <v>355.57975962848491</v>
      </c>
      <c r="W14" s="108">
        <f>SUM('Pago Cuota MC 2025'!L11)</f>
        <v>0</v>
      </c>
      <c r="X14" s="119">
        <f>SUM(-V14,W14)+Tabla3[[#This Row],[Saldo16]]</f>
        <v>-760.31965350473592</v>
      </c>
      <c r="Y14" s="122">
        <f>SUM('Ago 25'!L11)</f>
        <v>439.67624374893012</v>
      </c>
      <c r="Z14" s="108">
        <f>SUM('Pago Cuota MC 2025'!M11)</f>
        <v>0</v>
      </c>
      <c r="AA14" s="119">
        <f>SUM(-Y14,Z14)+Tabla3[[#This Row],[Saldo19]]</f>
        <v>-1199.995897253666</v>
      </c>
      <c r="AB14" s="122">
        <f>SUM('Sep 25'!L11)</f>
        <v>435.57994649842271</v>
      </c>
      <c r="AC14" s="108">
        <f>SUM('Pago Cuota MC 2025'!N11)</f>
        <v>0</v>
      </c>
      <c r="AD14" s="119">
        <f>SUM(-AB14,AC14)+Tabla3[[#This Row],[Saldo22]]</f>
        <v>-1635.5758437520888</v>
      </c>
      <c r="AE14" s="122">
        <f>SUM('Oct 25'!L11)</f>
        <v>431.51826242156665</v>
      </c>
      <c r="AF14" s="108">
        <f>SUM('Pago Cuota MC 2025'!O11)</f>
        <v>0</v>
      </c>
      <c r="AG14" s="145">
        <f>SUM(-AE14,AF14)+Tabla3[[#This Row],[Saldo25]]</f>
        <v>-2067.0941061736553</v>
      </c>
      <c r="AH14" s="122">
        <f>SUM('Nov 25'!L11)</f>
        <v>458.57936913933275</v>
      </c>
      <c r="AI14" s="108">
        <f>SUM('Pago Cuota MC 2025'!P11)</f>
        <v>0</v>
      </c>
      <c r="AJ14" s="119">
        <f>SUM(-AH14,AI14)+Tabla3[[#This Row],[Saldo28]]</f>
        <v>-2525.6734753129881</v>
      </c>
      <c r="AK14" s="122">
        <f>SUM('Dic 25'!L11)</f>
        <v>434.76918604107152</v>
      </c>
      <c r="AL14" s="108">
        <f>SUM('Pago Cuota MC 2025'!Q11)</f>
        <v>0</v>
      </c>
      <c r="AM14" s="145">
        <f>SUM(-AK14,AL14)+Tabla3[[#This Row],[Saldo31]]</f>
        <v>-2960.4426613540595</v>
      </c>
      <c r="AN14" s="128">
        <f t="shared" si="1"/>
        <v>-2960.4426613540595</v>
      </c>
      <c r="AO14" s="29"/>
      <c r="AP14" s="106">
        <f>SUM(Tabla3[[#This Row],[Saldo Anual]])</f>
        <v>-2960.4426613540595</v>
      </c>
    </row>
    <row r="15" spans="1:45" ht="16.149999999999999" thickBot="1" x14ac:dyDescent="0.5">
      <c r="A15" s="313"/>
      <c r="B15" s="16" t="s">
        <v>3</v>
      </c>
      <c r="C15" s="116">
        <v>302</v>
      </c>
      <c r="D15" s="118">
        <f>SUM('Ene 25'!L12)-('Pago Cuota MC 2024'!F12)</f>
        <v>236.02064436783286</v>
      </c>
      <c r="E15" s="108">
        <f>SUM('Pago Cuota MC 2025'!F12)</f>
        <v>0</v>
      </c>
      <c r="F15" s="119">
        <f t="shared" si="0"/>
        <v>-236.02064436783286</v>
      </c>
      <c r="G15" s="118">
        <f>SUM('Feb 25'!L12)</f>
        <v>416.36065378097413</v>
      </c>
      <c r="H15" s="108">
        <f>SUM('Pago Cuota MC 2025'!G12)</f>
        <v>700</v>
      </c>
      <c r="I15" s="119">
        <f>SUM(-G15,H15)+Tabla3[[#This Row],[Saldo]]</f>
        <v>47.618701851193009</v>
      </c>
      <c r="J15" s="118">
        <f>SUM('Mar 25'!L12)</f>
        <v>429.28993348418749</v>
      </c>
      <c r="K15" s="108">
        <f>SUM('Pago Cuota MC 2025'!H12)</f>
        <v>0</v>
      </c>
      <c r="L15" s="119">
        <f>SUM(-J15,K15)+Tabla3[[#This Row],[Saldo4]]</f>
        <v>-381.67123163299448</v>
      </c>
      <c r="M15" s="122">
        <f>SUM('Abr 25'!L12)</f>
        <v>458.72568415158594</v>
      </c>
      <c r="N15" s="108">
        <f>SUM('Pago Cuota MC 2025'!I12)</f>
        <v>0</v>
      </c>
      <c r="O15" s="119">
        <f>SUM(-M15,N15)+Tabla3[[#This Row],[Saldo7]]</f>
        <v>-840.39691578458041</v>
      </c>
      <c r="P15" s="122">
        <f>SUM('May 25'!L12)</f>
        <v>443.56723103174602</v>
      </c>
      <c r="Q15" s="108">
        <f>SUM('Pago Cuota MC 2025'!J12)</f>
        <v>1283.96</v>
      </c>
      <c r="R15" s="119">
        <f>SUM(-P15,Q15)+Tabla3[[#This Row],[Saldo13]]</f>
        <v>-4.1468163263971292E-3</v>
      </c>
      <c r="S15" s="122">
        <f>SUM('Jun 25'!L12)</f>
        <v>418.74947661421913</v>
      </c>
      <c r="T15" s="108">
        <f>SUM('Pago Cuota MC 2025'!K12)</f>
        <v>500</v>
      </c>
      <c r="U15" s="119">
        <f>SUM(-S15,T15)+Tabla3[[#This Row],[Saldo132]]</f>
        <v>81.246376569454469</v>
      </c>
      <c r="V15" s="122">
        <f>SUM('Jul 25'!L12)</f>
        <v>406.92524667540823</v>
      </c>
      <c r="W15" s="108">
        <f>SUM('Pago Cuota MC 2025'!L12)</f>
        <v>325.68</v>
      </c>
      <c r="X15" s="119">
        <f>SUM(-V15,W15)+Tabla3[[#This Row],[Saldo16]]</f>
        <v>1.1298940462438622E-3</v>
      </c>
      <c r="Y15" s="122">
        <f>SUM('Ago 25'!L12)</f>
        <v>402.78198822824538</v>
      </c>
      <c r="Z15" s="108">
        <f>SUM('Pago Cuota MC 2025'!M12)</f>
        <v>0</v>
      </c>
      <c r="AA15" s="119">
        <f>SUM(-Y15,Z15)+Tabla3[[#This Row],[Saldo19]]</f>
        <v>-402.78085833419914</v>
      </c>
      <c r="AB15" s="122">
        <f>SUM('Sep 25'!L12)</f>
        <v>414.19620138801258</v>
      </c>
      <c r="AC15" s="108">
        <f>SUM('Pago Cuota MC 2025'!N12)</f>
        <v>0</v>
      </c>
      <c r="AD15" s="119">
        <f>SUM(-AB15,AC15)+Tabla3[[#This Row],[Saldo22]]</f>
        <v>-816.97705972221172</v>
      </c>
      <c r="AE15" s="122">
        <f>SUM('Oct 25'!L12)</f>
        <v>420.18547416148238</v>
      </c>
      <c r="AF15" s="108">
        <f>SUM('Pago Cuota MC 2025'!O12)</f>
        <v>1237.1600000000001</v>
      </c>
      <c r="AG15" s="145">
        <f>SUM(-AE15,AF15)+Tabla3[[#This Row],[Saldo25]]</f>
        <v>-2.5338836940136389E-3</v>
      </c>
      <c r="AH15" s="122">
        <f>SUM('Nov 25'!L12)</f>
        <v>432.18476274740681</v>
      </c>
      <c r="AI15" s="108">
        <f>SUM('Pago Cuota MC 2025'!P12)</f>
        <v>0</v>
      </c>
      <c r="AJ15" s="119">
        <f>SUM(-AH15,AI15)+Tabla3[[#This Row],[Saldo28]]</f>
        <v>-432.18729663110082</v>
      </c>
      <c r="AK15" s="122">
        <f>SUM('Dic 25'!L12)</f>
        <v>412.86789867585173</v>
      </c>
      <c r="AL15" s="108">
        <f>SUM('Pago Cuota MC 2025'!Q12)</f>
        <v>0</v>
      </c>
      <c r="AM15" s="145">
        <f>SUM(-AK15,AL15)+Tabla3[[#This Row],[Saldo31]]</f>
        <v>-845.05519530695256</v>
      </c>
      <c r="AN15" s="128">
        <f>SUM(AM15)</f>
        <v>-845.05519530695256</v>
      </c>
      <c r="AP15" s="106">
        <f>SUM(Tabla3[[#This Row],[Saldo Anual]])</f>
        <v>-845.05519530695256</v>
      </c>
    </row>
    <row r="16" spans="1:45" ht="16.149999999999999" thickBot="1" x14ac:dyDescent="0.5">
      <c r="A16" s="313"/>
      <c r="B16" s="16" t="s">
        <v>3</v>
      </c>
      <c r="C16" s="116">
        <v>303</v>
      </c>
      <c r="D16" s="118">
        <f>SUM('Ene 25'!L13)-('Pago Cuota MC 2024'!F13)</f>
        <v>327.7082038693876</v>
      </c>
      <c r="E16" s="108">
        <f>SUM('Pago Cuota MC 2025'!F13)</f>
        <v>327.71</v>
      </c>
      <c r="F16" s="119">
        <f t="shared" si="0"/>
        <v>1.7961306123766008E-3</v>
      </c>
      <c r="G16" s="118">
        <f>SUM('Feb 25'!L13)</f>
        <v>371.91085984762179</v>
      </c>
      <c r="H16" s="108">
        <f>SUM('Pago Cuota MC 2025'!G13)</f>
        <v>371.91</v>
      </c>
      <c r="I16" s="119">
        <f>SUM(-G16,H16)+Tabla3[[#This Row],[Saldo]]</f>
        <v>9.3628299060810605E-4</v>
      </c>
      <c r="J16" s="118">
        <f>SUM('Mar 25'!L13)</f>
        <v>415.50886483642307</v>
      </c>
      <c r="K16" s="108">
        <f>SUM('Pago Cuota MC 2025'!H13)</f>
        <v>415.51</v>
      </c>
      <c r="L16" s="119">
        <f>SUM(-J16,K16)+Tabla3[[#This Row],[Saldo4]]</f>
        <v>2.0714465675268912E-3</v>
      </c>
      <c r="M16" s="122">
        <f>SUM('Abr 25'!L13)</f>
        <v>389.56442212589997</v>
      </c>
      <c r="N16" s="108">
        <f>SUM('Pago Cuota MC 2025'!I13)</f>
        <v>389.56</v>
      </c>
      <c r="O16" s="119">
        <f>SUM(-M16,N16)+Tabla3[[#This Row],[Saldo7]]</f>
        <v>-2.3506793324372666E-3</v>
      </c>
      <c r="P16" s="122">
        <f>SUM('May 25'!L13)</f>
        <v>398.87727507936506</v>
      </c>
      <c r="Q16" s="108">
        <f>SUM('Pago Cuota MC 2025'!J13)</f>
        <v>398.88</v>
      </c>
      <c r="R16" s="119">
        <f>SUM(-P16,Q16)+Tabla3[[#This Row],[Saldo13]]</f>
        <v>3.7424130249519294E-4</v>
      </c>
      <c r="S16" s="122">
        <f>SUM('Jun 25'!L13)</f>
        <v>398.43512115429445</v>
      </c>
      <c r="T16" s="108">
        <f>SUM('Pago Cuota MC 2025'!K13)</f>
        <v>398.43</v>
      </c>
      <c r="U16" s="119">
        <f>SUM(-S16,T16)+Tabla3[[#This Row],[Saldo132]]</f>
        <v>-4.7469129919477382E-3</v>
      </c>
      <c r="V16" s="122">
        <f>SUM('Jul 25'!L13)</f>
        <v>396.52524813649279</v>
      </c>
      <c r="W16" s="108">
        <f>SUM('Pago Cuota MC 2025'!L13)</f>
        <v>396.53</v>
      </c>
      <c r="X16" s="119">
        <f>SUM(-V16,W16)+Tabla3[[#This Row],[Saldo16]]</f>
        <v>4.9505152333040314E-6</v>
      </c>
      <c r="Y16" s="122">
        <f>SUM('Ago 25'!L13)</f>
        <v>376.59156608844506</v>
      </c>
      <c r="Z16" s="108">
        <f>SUM('Pago Cuota MC 2025'!M13)</f>
        <v>376.59</v>
      </c>
      <c r="AA16" s="119">
        <f>SUM(-Y16,Z16)+Tabla3[[#This Row],[Saldo19]]</f>
        <v>-1.5611379298547945E-3</v>
      </c>
      <c r="AB16" s="122">
        <f>SUM('Sep 25'!L13)</f>
        <v>376.23873261829652</v>
      </c>
      <c r="AC16" s="108">
        <f>SUM('Pago Cuota MC 2025'!N13)</f>
        <v>376.24</v>
      </c>
      <c r="AD16" s="119">
        <f>SUM(-AB16,AC16)+Tabla3[[#This Row],[Saldo22]]</f>
        <v>-2.9375622636962362E-4</v>
      </c>
      <c r="AE16" s="122">
        <f>SUM('Oct 25'!L13)</f>
        <v>372.3979137159676</v>
      </c>
      <c r="AF16" s="108">
        <f>SUM('Pago Cuota MC 2025'!O13)</f>
        <v>372.4</v>
      </c>
      <c r="AG16" s="145">
        <f>SUM(-AE16,AF16)+Tabla3[[#This Row],[Saldo25]]</f>
        <v>1.7925278060033634E-3</v>
      </c>
      <c r="AH16" s="122">
        <f>SUM('Nov 25'!L13)</f>
        <v>385.92656703672549</v>
      </c>
      <c r="AI16" s="108">
        <f>SUM('Pago Cuota MC 2025'!P13)</f>
        <v>385.92</v>
      </c>
      <c r="AJ16" s="119">
        <f>SUM(-AH16,AI16)+Tabla3[[#This Row],[Saldo28]]</f>
        <v>-4.7745089194677348E-3</v>
      </c>
      <c r="AK16" s="122">
        <f>SUM('Dic 25'!L13)</f>
        <v>386.82498913756035</v>
      </c>
      <c r="AL16" s="108">
        <f>SUM('Pago Cuota MC 2025'!Q13)</f>
        <v>386.83</v>
      </c>
      <c r="AM16" s="145">
        <f>SUM(-AK16,AL16)+Tabla3[[#This Row],[Saldo31]]</f>
        <v>2.3635352016526667E-4</v>
      </c>
      <c r="AN16" s="128">
        <f t="shared" si="1"/>
        <v>2.3635352016526667E-4</v>
      </c>
      <c r="AO16" s="29"/>
      <c r="AP16" s="106" t="s">
        <v>12</v>
      </c>
      <c r="AQ16" t="s">
        <v>12</v>
      </c>
    </row>
    <row r="17" spans="1:43" ht="16.149999999999999" thickBot="1" x14ac:dyDescent="0.5">
      <c r="A17" s="313"/>
      <c r="B17" s="16" t="s">
        <v>3</v>
      </c>
      <c r="C17" s="116">
        <v>304</v>
      </c>
      <c r="D17" s="118">
        <f>SUM('Ene 25'!L14)-('Pago Cuota MC 2024'!F14)</f>
        <v>327.14774815052181</v>
      </c>
      <c r="E17" s="108">
        <f>SUM('Pago Cuota MC 2025'!F14)</f>
        <v>327.14999999999998</v>
      </c>
      <c r="F17" s="119">
        <f>SUM(-D17,E17)</f>
        <v>2.2518494781706977E-3</v>
      </c>
      <c r="G17" s="118">
        <f>SUM('Feb 25'!L14)</f>
        <v>362.59622897322703</v>
      </c>
      <c r="H17" s="108">
        <f>SUM('Pago Cuota MC 2025'!G14)</f>
        <v>361.67</v>
      </c>
      <c r="I17" s="119">
        <f>SUM(-G17,H17)+Tabla3[[#This Row],[Saldo]]</f>
        <v>-0.92397712374884122</v>
      </c>
      <c r="J17" s="118">
        <f>SUM('Mar 25'!L14)</f>
        <v>381.09366456379496</v>
      </c>
      <c r="K17" s="108">
        <f>SUM('Pago Cuota MC 2025'!H14)</f>
        <v>382.02</v>
      </c>
      <c r="L17" s="119">
        <f>SUM(-J17,K17)+Tabla3[[#This Row],[Saldo4]]</f>
        <v>2.3583124561810109E-3</v>
      </c>
      <c r="M17" s="122">
        <f>SUM('Abr 25'!L14)</f>
        <v>367.61022227184276</v>
      </c>
      <c r="N17" s="108">
        <f>SUM('Pago Cuota MC 2025'!I14)</f>
        <v>367.61</v>
      </c>
      <c r="O17" s="119">
        <f>SUM(-M17,N17)+Tabla3[[#This Row],[Saldo7]]</f>
        <v>2.1360406134363075E-3</v>
      </c>
      <c r="P17" s="122">
        <f>SUM('May 25'!L14)</f>
        <v>379.14356674603175</v>
      </c>
      <c r="Q17" s="108">
        <f>SUM('Pago Cuota MC 2025'!J14)</f>
        <v>379.14</v>
      </c>
      <c r="R17" s="119">
        <f>SUM(-P17,Q17)+Tabla3[[#This Row],[Saldo13]]</f>
        <v>-1.4307054183291257E-3</v>
      </c>
      <c r="S17" s="122">
        <f>SUM('Jun 25'!L14)</f>
        <v>353.82118371481084</v>
      </c>
      <c r="T17" s="108">
        <f>SUM('Pago Cuota MC 2025'!K14)</f>
        <v>353.82</v>
      </c>
      <c r="U17" s="119">
        <f>SUM(-S17,T17)+Tabla3[[#This Row],[Saldo132]]</f>
        <v>-2.6144202291789043E-3</v>
      </c>
      <c r="V17" s="122">
        <f>SUM('Jul 25'!L14)</f>
        <v>383.92215906652933</v>
      </c>
      <c r="W17" s="108">
        <f>SUM('Pago Cuota MC 2025'!L14)</f>
        <v>383.92</v>
      </c>
      <c r="X17" s="119">
        <f>SUM(-V17,W17)+Tabla3[[#This Row],[Saldo16]]</f>
        <v>-4.7734867584949825E-3</v>
      </c>
      <c r="Y17" s="122">
        <f>SUM('Ago 25'!L14)</f>
        <v>385.30736945506419</v>
      </c>
      <c r="Z17" s="108">
        <f>SUM('Pago Cuota MC 2025'!M14)</f>
        <v>385.31</v>
      </c>
      <c r="AA17" s="119">
        <f>SUM(-Y17,Z17)+Tabla3[[#This Row],[Saldo19]]</f>
        <v>-2.1429418226830421E-3</v>
      </c>
      <c r="AB17" s="122">
        <f>SUM('Sep 25'!L14)</f>
        <v>377.63694082018924</v>
      </c>
      <c r="AC17" s="108">
        <f>SUM('Pago Cuota MC 2025'!N14)</f>
        <v>377.64</v>
      </c>
      <c r="AD17" s="119">
        <f>SUM(-AB17,AC17)+Tabla3[[#This Row],[Saldo22]]</f>
        <v>9.162379880649496E-4</v>
      </c>
      <c r="AE17" s="122">
        <f>SUM('Oct 25'!L14)</f>
        <v>373.789863144023</v>
      </c>
      <c r="AF17" s="108">
        <f>SUM('Pago Cuota MC 2025'!O14)</f>
        <v>0</v>
      </c>
      <c r="AG17" s="145">
        <f>SUM(-AE17,AF17)+Tabla3[[#This Row],[Saldo25]]</f>
        <v>-373.78894690603494</v>
      </c>
      <c r="AH17" s="122">
        <f>SUM('Nov 25'!L14)</f>
        <v>432.40309285674232</v>
      </c>
      <c r="AI17" s="108">
        <f>SUM('Pago Cuota MC 2025'!P14)</f>
        <v>806.19</v>
      </c>
      <c r="AJ17" s="119">
        <f>SUM(-AH17,AI17)+Tabla3[[#This Row],[Saldo28]]</f>
        <v>-2.0397627772013038E-3</v>
      </c>
      <c r="AK17" s="122">
        <f>SUM('Dic 25'!L14)</f>
        <v>431.24650492412377</v>
      </c>
      <c r="AL17" s="108">
        <f>SUM('Pago Cuota MC 2025'!Q14)</f>
        <v>0</v>
      </c>
      <c r="AM17" s="145">
        <f>SUM(-AK17,AL17)+Tabla3[[#This Row],[Saldo31]]</f>
        <v>-431.24854468690097</v>
      </c>
      <c r="AN17" s="128">
        <f t="shared" si="1"/>
        <v>-431.24854468690097</v>
      </c>
      <c r="AO17" s="29"/>
      <c r="AP17" s="106">
        <f>SUM(Tabla3[[#This Row],[Saldo Anual]])</f>
        <v>-431.24854468690097</v>
      </c>
    </row>
    <row r="18" spans="1:43" ht="16.149999999999999" thickBot="1" x14ac:dyDescent="0.5">
      <c r="A18" s="313"/>
      <c r="B18" s="16" t="s">
        <v>3</v>
      </c>
      <c r="C18" s="116">
        <v>401</v>
      </c>
      <c r="D18" s="118">
        <f>SUM('Ene 25'!L15)-('Pago Cuota MC 2024'!F15)</f>
        <v>-349.55706173045593</v>
      </c>
      <c r="E18" s="108">
        <f>SUM('Pago Cuota MC 2025'!F15)</f>
        <v>0</v>
      </c>
      <c r="F18" s="119">
        <f t="shared" si="0"/>
        <v>349.55706173045593</v>
      </c>
      <c r="G18" s="118">
        <f>SUM('Feb 25'!L15)</f>
        <v>339.69287337653094</v>
      </c>
      <c r="H18" s="108">
        <f>SUM('Pago Cuota MC 2025'!G15)</f>
        <v>0</v>
      </c>
      <c r="I18" s="119">
        <f>SUM(-G18,H18)+Tabla3[[#This Row],[Saldo]]</f>
        <v>9.8641883539249875</v>
      </c>
      <c r="J18" s="118">
        <f>SUM('Mar 25'!L15)</f>
        <v>378.42452715921479</v>
      </c>
      <c r="K18" s="108">
        <f>SUM('Pago Cuota MC 2025'!H15)</f>
        <v>0</v>
      </c>
      <c r="L18" s="119">
        <f>SUM(-J18,K18)+Tabla3[[#This Row],[Saldo4]]</f>
        <v>-368.5603388052898</v>
      </c>
      <c r="M18" s="122">
        <f>SUM('Abr 25'!L15)</f>
        <v>339.56463672017901</v>
      </c>
      <c r="N18" s="108">
        <f>SUM('Pago Cuota MC 2025'!I15)</f>
        <v>750</v>
      </c>
      <c r="O18" s="119">
        <f>SUM(-M18,N18)+Tabla3[[#This Row],[Saldo7]]</f>
        <v>41.875024474531187</v>
      </c>
      <c r="P18" s="122">
        <f>SUM('May 25'!L15)</f>
        <v>352.63166912698415</v>
      </c>
      <c r="Q18" s="108">
        <f>SUM('Pago Cuota MC 2025'!J15)</f>
        <v>0</v>
      </c>
      <c r="R18" s="119">
        <f>SUM(-P18,Q18)+Tabla3[[#This Row],[Saldo13]]</f>
        <v>-310.75664465245296</v>
      </c>
      <c r="S18" s="122">
        <f>SUM('Jun 25'!L15)</f>
        <v>355.3661522462794</v>
      </c>
      <c r="T18" s="108">
        <f>SUM('Pago Cuota MC 2025'!K15)</f>
        <v>500</v>
      </c>
      <c r="U18" s="119">
        <f>SUM(-S18,T18)+Tabla3[[#This Row],[Saldo132]]</f>
        <v>-166.12279689873236</v>
      </c>
      <c r="V18" s="122">
        <f>SUM('Jul 25'!L15)</f>
        <v>343.219865500921</v>
      </c>
      <c r="W18" s="108">
        <f>SUM('Pago Cuota MC 2025'!L15)</f>
        <v>600</v>
      </c>
      <c r="X18" s="119">
        <f>SUM(-V18,W18)+Tabla3[[#This Row],[Saldo16]]</f>
        <v>90.657337600346636</v>
      </c>
      <c r="Y18" s="122">
        <f>SUM('Ago 25'!L15)</f>
        <v>347.67574469044223</v>
      </c>
      <c r="Z18" s="108">
        <f>SUM('Pago Cuota MC 2025'!M15)</f>
        <v>0</v>
      </c>
      <c r="AA18" s="119">
        <f>SUM(-Y18,Z18)+Tabla3[[#This Row],[Saldo19]]</f>
        <v>-257.01840709009559</v>
      </c>
      <c r="AB18" s="122">
        <f>SUM('Sep 25'!L15)</f>
        <v>353.92070359621448</v>
      </c>
      <c r="AC18" s="108">
        <f>SUM('Pago Cuota MC 2025'!N15)</f>
        <v>0</v>
      </c>
      <c r="AD18" s="119">
        <f>SUM(-AB18,AC18)+Tabla3[[#This Row],[Saldo22]]</f>
        <v>-610.93911068631007</v>
      </c>
      <c r="AE18" s="122">
        <f>SUM('Oct 25'!L15)</f>
        <v>340.22454929694294</v>
      </c>
      <c r="AF18" s="108">
        <f>SUM('Pago Cuota MC 2025'!O15)</f>
        <v>0</v>
      </c>
      <c r="AG18" s="145">
        <f>SUM(-AE18,AF18)+Tabla3[[#This Row],[Saldo25]]</f>
        <v>-951.16365998325296</v>
      </c>
      <c r="AH18" s="122">
        <f>SUM('Nov 25'!L15)</f>
        <v>355.4124380207457</v>
      </c>
      <c r="AI18" s="108">
        <f>SUM('Pago Cuota MC 2025'!P15)</f>
        <v>1306.58</v>
      </c>
      <c r="AJ18" s="119">
        <f>SUM(-AH18,AI18)+Tabla3[[#This Row],[Saldo28]]</f>
        <v>3.9019960013320087E-3</v>
      </c>
      <c r="AK18" s="122">
        <f>SUM('Dic 25'!L15)</f>
        <v>329.05579439053241</v>
      </c>
      <c r="AL18" s="108">
        <f>SUM('Pago Cuota MC 2025'!Q15)</f>
        <v>0</v>
      </c>
      <c r="AM18" s="145">
        <f>SUM(-AK18,AL18)+Tabla3[[#This Row],[Saldo31]]</f>
        <v>-329.05189239453108</v>
      </c>
      <c r="AN18" s="128">
        <f t="shared" si="1"/>
        <v>-329.05189239453108</v>
      </c>
      <c r="AO18" s="29"/>
      <c r="AP18" s="106">
        <f>SUM(Tabla3[[#This Row],[Saldo Anual]])</f>
        <v>-329.05189239453108</v>
      </c>
    </row>
    <row r="19" spans="1:43" ht="16.149999999999999" thickBot="1" x14ac:dyDescent="0.5">
      <c r="A19" s="313"/>
      <c r="B19" s="16" t="s">
        <v>3</v>
      </c>
      <c r="C19" s="116">
        <v>402</v>
      </c>
      <c r="D19" s="118">
        <f>SUM('Ene 25'!L16)-('Pago Cuota MC 2024'!F16)</f>
        <v>281.08185709670283</v>
      </c>
      <c r="E19" s="108">
        <f>SUM('Pago Cuota MC 2025'!F16)</f>
        <v>500</v>
      </c>
      <c r="F19" s="119">
        <f t="shared" si="0"/>
        <v>218.91814290329717</v>
      </c>
      <c r="G19" s="118">
        <f>SUM('Feb 25'!L16)</f>
        <v>381.46116104386215</v>
      </c>
      <c r="H19" s="108">
        <f>SUM('Pago Cuota MC 2025'!G16)</f>
        <v>0</v>
      </c>
      <c r="I19" s="119">
        <f>SUM(-G19,H19)+Tabla3[[#This Row],[Saldo]]</f>
        <v>-162.54301814056498</v>
      </c>
      <c r="J19" s="118">
        <f>SUM('Mar 25'!L16)</f>
        <v>341.52271358233367</v>
      </c>
      <c r="K19" s="108">
        <f>SUM('Pago Cuota MC 2025'!H16)</f>
        <v>500</v>
      </c>
      <c r="L19" s="119">
        <f>SUM(-J19,K19)+Tabla3[[#This Row],[Saldo4]]</f>
        <v>-4.0657317228986471</v>
      </c>
      <c r="M19" s="122">
        <f>SUM('Abr 25'!L16)</f>
        <v>383.08673359700327</v>
      </c>
      <c r="N19" s="108">
        <f>SUM('Pago Cuota MC 2025'!I16)</f>
        <v>385</v>
      </c>
      <c r="O19" s="119">
        <f>SUM(-M19,N19)+Tabla3[[#This Row],[Saldo7]]</f>
        <v>-2.1524653199019212</v>
      </c>
      <c r="P19" s="122">
        <f>SUM('May 25'!L16)</f>
        <v>386.73250484126982</v>
      </c>
      <c r="Q19" s="108">
        <f>SUM('Pago Cuota MC 2025'!J16)</f>
        <v>389</v>
      </c>
      <c r="R19" s="119">
        <f>SUM(-P19,Q19)+Tabla3[[#This Row],[Saldo13]]</f>
        <v>0.11502983882826356</v>
      </c>
      <c r="S19" s="122">
        <f>SUM('Jun 25'!L16)</f>
        <v>373.1253674426215</v>
      </c>
      <c r="T19" s="108">
        <f>SUM('Pago Cuota MC 2025'!K16)</f>
        <v>374</v>
      </c>
      <c r="U19" s="119">
        <f>SUM(-S19,T19)+Tabla3[[#This Row],[Saldo132]]</f>
        <v>0.98966239620676788</v>
      </c>
      <c r="V19" s="122">
        <f>SUM('Jul 25'!L16)</f>
        <v>371.31122981674002</v>
      </c>
      <c r="W19" s="108">
        <f>SUM('Pago Cuota MC 2025'!L16)</f>
        <v>371</v>
      </c>
      <c r="X19" s="119">
        <f>SUM(-V19,W19)+Tabla3[[#This Row],[Saldo16]]</f>
        <v>0.67843257946674385</v>
      </c>
      <c r="Y19" s="122">
        <f>SUM('Ago 25'!L16)</f>
        <v>353.98287382025677</v>
      </c>
      <c r="Z19" s="108">
        <f>SUM('Pago Cuota MC 2025'!M16)</f>
        <v>353.5</v>
      </c>
      <c r="AA19" s="119">
        <f>SUM(-Y19,Z19)+Tabla3[[#This Row],[Saldo19]]</f>
        <v>0.19555875920997323</v>
      </c>
      <c r="AB19" s="122">
        <f>SUM('Sep 25'!L16)</f>
        <v>360.28750738170345</v>
      </c>
      <c r="AC19" s="108">
        <f>SUM('Pago Cuota MC 2025'!N16)</f>
        <v>361</v>
      </c>
      <c r="AD19" s="119">
        <f>SUM(-AB19,AC19)+Tabla3[[#This Row],[Saldo22]]</f>
        <v>0.9080513775065242</v>
      </c>
      <c r="AE19" s="122">
        <f>SUM('Oct 25'!L16)</f>
        <v>356.51809065756902</v>
      </c>
      <c r="AF19" s="108">
        <f>SUM('Pago Cuota MC 2025'!O16)</f>
        <v>356</v>
      </c>
      <c r="AG19" s="145">
        <f>SUM(-AE19,AF19)+Tabla3[[#This Row],[Saldo25]]</f>
        <v>0.38996071993750547</v>
      </c>
      <c r="AH19" s="122">
        <f>SUM('Nov 25'!L16)</f>
        <v>346.67081337818894</v>
      </c>
      <c r="AI19" s="108">
        <f>SUM('Pago Cuota MC 2025'!P16)</f>
        <v>347</v>
      </c>
      <c r="AJ19" s="119">
        <f>SUM(-AH19,AI19)+Tabla3[[#This Row],[Saldo28]]</f>
        <v>0.71914734174856676</v>
      </c>
      <c r="AK19" s="122">
        <f>SUM('Dic 25'!L16)</f>
        <v>342.1597878104937</v>
      </c>
      <c r="AL19" s="108">
        <f>SUM('Pago Cuota MC 2025'!Q16)</f>
        <v>342</v>
      </c>
      <c r="AM19" s="145">
        <f>SUM(-AK19,AL19)+Tabla3[[#This Row],[Saldo31]]</f>
        <v>0.55935953125487003</v>
      </c>
      <c r="AN19" s="128">
        <f t="shared" si="1"/>
        <v>0.55935953125487003</v>
      </c>
      <c r="AO19" s="29"/>
      <c r="AP19" s="106" t="s">
        <v>12</v>
      </c>
    </row>
    <row r="20" spans="1:43" ht="16.149999999999999" thickBot="1" x14ac:dyDescent="0.5">
      <c r="A20" s="313"/>
      <c r="B20" s="16" t="s">
        <v>3</v>
      </c>
      <c r="C20" s="116">
        <v>403</v>
      </c>
      <c r="D20" s="118">
        <f>SUM('Ene 25'!L17)-('Pago Cuota MC 2024'!F17)</f>
        <v>326.42064288752471</v>
      </c>
      <c r="E20" s="108">
        <f>SUM('Pago Cuota MC 2025'!F17)</f>
        <v>326.42</v>
      </c>
      <c r="F20" s="119">
        <f t="shared" si="0"/>
        <v>-6.4288752469110477E-4</v>
      </c>
      <c r="G20" s="118">
        <f>SUM('Feb 25'!L17)</f>
        <v>361.66945839504416</v>
      </c>
      <c r="H20" s="108">
        <f>SUM('Pago Cuota MC 2025'!G17)</f>
        <v>361.67</v>
      </c>
      <c r="I20" s="119">
        <f>SUM(-G20,H20)+Tabla3[[#This Row],[Saldo]]</f>
        <v>-1.0128256883490394E-4</v>
      </c>
      <c r="J20" s="118">
        <f>SUM('Mar 25'!L17)</f>
        <v>366.35890693020713</v>
      </c>
      <c r="K20" s="108">
        <f>SUM('Pago Cuota MC 2025'!H17)</f>
        <v>366.36</v>
      </c>
      <c r="L20" s="119">
        <f>SUM(-J20,K20)+Tabla3[[#This Row],[Saldo4]]</f>
        <v>9.9178722405213193E-4</v>
      </c>
      <c r="M20" s="122">
        <f>SUM('Abr 25'!L17)</f>
        <v>347.778654817085</v>
      </c>
      <c r="N20" s="108">
        <f>SUM('Pago Cuota MC 2025'!I17)</f>
        <v>347.78</v>
      </c>
      <c r="O20" s="119">
        <f>SUM(-M20,N20)+Tabla3[[#This Row],[Saldo7]]</f>
        <v>2.3369701390265618E-3</v>
      </c>
      <c r="P20" s="122">
        <f>SUM('May 25'!L17)</f>
        <v>380.68687031746032</v>
      </c>
      <c r="Q20" s="108">
        <f>SUM('Pago Cuota MC 2025'!J17)</f>
        <v>380.69</v>
      </c>
      <c r="R20" s="119">
        <f>SUM(-P20,Q20)+Tabla3[[#This Row],[Saldo13]]</f>
        <v>5.4666526787059411E-3</v>
      </c>
      <c r="S20" s="122">
        <f>SUM('Jun 25'!L17)</f>
        <v>368.63307432804379</v>
      </c>
      <c r="T20" s="108">
        <f>SUM('Pago Cuota MC 2025'!K17)</f>
        <v>0</v>
      </c>
      <c r="U20" s="119">
        <f>SUM(-S20,T20)+Tabla3[[#This Row],[Saldo132]]</f>
        <v>-368.62760767536508</v>
      </c>
      <c r="V20" s="122">
        <f>SUM('Jul 25'!L17)</f>
        <v>362.01277654334865</v>
      </c>
      <c r="W20" s="108">
        <f>SUM('Pago Cuota MC 2025'!L17)</f>
        <v>0</v>
      </c>
      <c r="X20" s="119">
        <f>SUM(-V20,W20)+Tabla3[[#This Row],[Saldo16]]</f>
        <v>-730.64038421871373</v>
      </c>
      <c r="Y20" s="122">
        <f>SUM('Ago 25'!L17)</f>
        <v>375.38106440513553</v>
      </c>
      <c r="Z20" s="108">
        <f>SUM('Pago Cuota MC 2025'!M17)</f>
        <v>1106.02</v>
      </c>
      <c r="AA20" s="119">
        <f>SUM(-Y20,Z20)+Tabla3[[#This Row],[Saldo19]]</f>
        <v>-1.44862384922817E-3</v>
      </c>
      <c r="AB20" s="122">
        <f>SUM('Sep 25'!L17)</f>
        <v>364.8511035962145</v>
      </c>
      <c r="AC20" s="108">
        <f>SUM('Pago Cuota MC 2025'!N17)</f>
        <v>364.85</v>
      </c>
      <c r="AD20" s="119">
        <f>SUM(-AB20,AC20)+Tabla3[[#This Row],[Saldo22]]</f>
        <v>-2.5522200637055903E-3</v>
      </c>
      <c r="AE20" s="122">
        <f>SUM('Oct 25'!L17)</f>
        <v>361.06125892969425</v>
      </c>
      <c r="AF20" s="108">
        <f>SUM('Pago Cuota MC 2025'!O17)</f>
        <v>183.7</v>
      </c>
      <c r="AG20" s="145">
        <f>SUM(-AE20,AF20)+Tabla3[[#This Row],[Saldo25]]</f>
        <v>-177.36381114975796</v>
      </c>
      <c r="AH20" s="122">
        <f>SUM('Nov 25'!L17)</f>
        <v>323.60721455564897</v>
      </c>
      <c r="AI20" s="108">
        <f>SUM('Pago Cuota MC 2025'!P17)</f>
        <v>0</v>
      </c>
      <c r="AJ20" s="119">
        <f>SUM(-AH20,AI20)+Tabla3[[#This Row],[Saldo28]]</f>
        <v>-500.97102570540693</v>
      </c>
      <c r="AK20" s="122">
        <f>SUM('Dic 25'!L17)</f>
        <v>322.1618518414586</v>
      </c>
      <c r="AL20" s="108">
        <f>SUM('Pago Cuota MC 2025'!Q17)</f>
        <v>823.13</v>
      </c>
      <c r="AM20" s="145">
        <f>SUM(-AK20,AL20)+Tabla3[[#This Row],[Saldo31]]</f>
        <v>-2.8775468655339864E-3</v>
      </c>
      <c r="AN20" s="128">
        <f t="shared" si="1"/>
        <v>-2.8775468655339864E-3</v>
      </c>
      <c r="AO20" s="29"/>
      <c r="AP20" s="106" t="s">
        <v>12</v>
      </c>
    </row>
    <row r="21" spans="1:43" ht="16.149999999999999" thickBot="1" x14ac:dyDescent="0.5">
      <c r="A21" s="313"/>
      <c r="B21" s="16" t="s">
        <v>3</v>
      </c>
      <c r="C21" s="116">
        <v>404</v>
      </c>
      <c r="D21" s="118">
        <f>SUM('Ene 25'!L18)-('Pago Cuota MC 2024'!F18)</f>
        <v>318.35072236007574</v>
      </c>
      <c r="E21" s="108">
        <f>SUM('Pago Cuota MC 2025'!F18)</f>
        <v>320</v>
      </c>
      <c r="F21" s="119">
        <f t="shared" si="0"/>
        <v>1.6492776399242643</v>
      </c>
      <c r="G21" s="118">
        <f>SUM('Feb 25'!L18)</f>
        <v>383.21198630731988</v>
      </c>
      <c r="H21" s="108">
        <f>SUM('Pago Cuota MC 2025'!G18)</f>
        <v>370</v>
      </c>
      <c r="I21" s="119">
        <f>SUM(-G21,H21)+Tabla3[[#This Row],[Saldo]]</f>
        <v>-11.562708667395611</v>
      </c>
      <c r="J21" s="118">
        <f>SUM('Mar 25'!L18)</f>
        <v>385.60261843511444</v>
      </c>
      <c r="K21" s="108">
        <f>SUM('Pago Cuota MC 2025'!H18)</f>
        <v>380</v>
      </c>
      <c r="L21" s="119">
        <f>SUM(-J21,K21)+Tabla3[[#This Row],[Saldo4]]</f>
        <v>-17.165327102510048</v>
      </c>
      <c r="M21" s="122">
        <f>SUM('Abr 25'!L18)</f>
        <v>389.15778756664719</v>
      </c>
      <c r="N21" s="108">
        <f>SUM('Pago Cuota MC 2025'!I18)</f>
        <v>350</v>
      </c>
      <c r="O21" s="119">
        <f>SUM(-M21,N21)+Tabla3[[#This Row],[Saldo7]]</f>
        <v>-56.323114669157235</v>
      </c>
      <c r="P21" s="122">
        <f>SUM('May 25'!L18)</f>
        <v>401.87745722222223</v>
      </c>
      <c r="Q21" s="108">
        <f>SUM('Pago Cuota MC 2025'!J18)</f>
        <v>460</v>
      </c>
      <c r="R21" s="119">
        <f>SUM(-P21,Q21)+Tabla3[[#This Row],[Saldo13]]</f>
        <v>1.7994281086205319</v>
      </c>
      <c r="S21" s="122">
        <f>SUM('Jun 25'!L18)</f>
        <v>385.08500845929711</v>
      </c>
      <c r="T21" s="108">
        <f>SUM('Pago Cuota MC 2025'!K18)</f>
        <v>380</v>
      </c>
      <c r="U21" s="119">
        <f>SUM(-S21,T21)+Tabla3[[#This Row],[Saldo132]]</f>
        <v>-3.2855803506765824</v>
      </c>
      <c r="V21" s="122">
        <f>SUM('Jul 25'!L18)</f>
        <v>377.87738042084231</v>
      </c>
      <c r="W21" s="108">
        <f>SUM('Pago Cuota MC 2025'!L18)</f>
        <v>390</v>
      </c>
      <c r="X21" s="119">
        <f>SUM(-V21,W21)+Tabla3[[#This Row],[Saldo16]]</f>
        <v>8.8370392284811032</v>
      </c>
      <c r="Y21" s="122">
        <f>SUM('Ago 25'!L18)</f>
        <v>365.73689128102711</v>
      </c>
      <c r="Z21" s="108">
        <f>SUM('Pago Cuota MC 2025'!M18)</f>
        <v>365</v>
      </c>
      <c r="AA21" s="119">
        <f>SUM(-Y21,Z21)+Tabla3[[#This Row],[Saldo19]]</f>
        <v>8.1001479474539906</v>
      </c>
      <c r="AB21" s="122">
        <f>SUM('Sep 25'!L18)</f>
        <v>364.45106069400629</v>
      </c>
      <c r="AC21" s="108">
        <f>SUM('Pago Cuota MC 2025'!N18)</f>
        <v>0</v>
      </c>
      <c r="AD21" s="119">
        <f>SUM(-AB21,AC21)+Tabla3[[#This Row],[Saldo22]]</f>
        <v>-356.3509127465523</v>
      </c>
      <c r="AE21" s="122">
        <f>SUM('Oct 25'!L18)</f>
        <v>360.66300673222287</v>
      </c>
      <c r="AF21" s="108">
        <f>SUM('Pago Cuota MC 2025'!O18)</f>
        <v>640</v>
      </c>
      <c r="AG21" s="145">
        <f>SUM(-AE21,AF21)+Tabla3[[#This Row],[Saldo25]]</f>
        <v>-77.013919478775165</v>
      </c>
      <c r="AH21" s="122">
        <f>SUM('Nov 25'!L18)</f>
        <v>371.06027141014857</v>
      </c>
      <c r="AI21" s="108">
        <f>SUM('Pago Cuota MC 2025'!P18)</f>
        <v>80</v>
      </c>
      <c r="AJ21" s="119">
        <f>SUM(-AH21,AI21)+Tabla3[[#This Row],[Saldo28]]</f>
        <v>-368.07419088892374</v>
      </c>
      <c r="AK21" s="122">
        <f>SUM('Dic 25'!L18)</f>
        <v>364.30372870073421</v>
      </c>
      <c r="AL21" s="108">
        <f>SUM('Pago Cuota MC 2025'!Q18)</f>
        <v>720</v>
      </c>
      <c r="AM21" s="145">
        <f>SUM(-AK21,AL21)+Tabla3[[#This Row],[Saldo31]]</f>
        <v>-12.377919589657949</v>
      </c>
      <c r="AN21" s="128">
        <f t="shared" si="1"/>
        <v>-12.377919589657949</v>
      </c>
      <c r="AO21" s="29"/>
      <c r="AP21" s="106">
        <f>SUM(Tabla3[[#This Row],[Saldo Anual]])</f>
        <v>-12.377919589657949</v>
      </c>
    </row>
    <row r="22" spans="1:43" ht="16.149999999999999" thickBot="1" x14ac:dyDescent="0.5">
      <c r="A22" s="313"/>
      <c r="B22" s="16" t="s">
        <v>3</v>
      </c>
      <c r="C22" s="116">
        <v>501</v>
      </c>
      <c r="D22" s="118">
        <f>SUM('Ene 25'!L19)-('Pago Cuota MC 2024'!F19)</f>
        <v>341.53066176968338</v>
      </c>
      <c r="E22" s="108">
        <f>SUM('Pago Cuota MC 2025'!F19)</f>
        <v>343</v>
      </c>
      <c r="F22" s="119">
        <f t="shared" si="0"/>
        <v>1.4693382303166231</v>
      </c>
      <c r="G22" s="118">
        <f>SUM('Feb 25'!L19)</f>
        <v>386.53975745514106</v>
      </c>
      <c r="H22" s="108">
        <f>SUM('Pago Cuota MC 2025'!G19)</f>
        <v>386</v>
      </c>
      <c r="I22" s="119">
        <f>SUM(-G22,H22)+Tabla3[[#This Row],[Saldo]]</f>
        <v>0.92958077517556603</v>
      </c>
      <c r="J22" s="118">
        <f>SUM('Mar 25'!L19)</f>
        <v>388.74629569792796</v>
      </c>
      <c r="K22" s="108">
        <f>SUM('Pago Cuota MC 2025'!H19)</f>
        <v>388</v>
      </c>
      <c r="L22" s="119">
        <f>SUM(-J22,K22)+Tabla3[[#This Row],[Saldo4]]</f>
        <v>0.18328507724760357</v>
      </c>
      <c r="M22" s="122">
        <f>SUM('Abr 25'!L19)</f>
        <v>394.02113689531035</v>
      </c>
      <c r="N22" s="108">
        <f>SUM('Pago Cuota MC 2025'!I19)</f>
        <v>394</v>
      </c>
      <c r="O22" s="119">
        <f>SUM(-M22,N22)+Tabla3[[#This Row],[Saldo7]]</f>
        <v>0.16214818193725478</v>
      </c>
      <c r="P22" s="122">
        <f>SUM('May 25'!L19)</f>
        <v>427.13825007936509</v>
      </c>
      <c r="Q22" s="108">
        <f>SUM('Pago Cuota MC 2025'!J19)</f>
        <v>427</v>
      </c>
      <c r="R22" s="119">
        <f>SUM(-P22,Q22)+Tabla3[[#This Row],[Saldo13]]</f>
        <v>2.3898102572161406E-2</v>
      </c>
      <c r="S22" s="122">
        <f>SUM('Jun 25'!L19)</f>
        <v>412.11007338667741</v>
      </c>
      <c r="T22" s="108">
        <f>SUM('Pago Cuota MC 2025'!K19)</f>
        <v>0</v>
      </c>
      <c r="U22" s="119">
        <f>SUM(-S22,T22)+Tabla3[[#This Row],[Saldo132]]</f>
        <v>-412.08617528410525</v>
      </c>
      <c r="V22" s="122">
        <f>SUM('Jul 25'!L19)</f>
        <v>403.35012467484626</v>
      </c>
      <c r="W22" s="108">
        <f>SUM('Pago Cuota MC 2025'!L19)</f>
        <v>816</v>
      </c>
      <c r="X22" s="119">
        <f>SUM(-V22,W22)+Tabla3[[#This Row],[Saldo16]]</f>
        <v>0.56370004104849158</v>
      </c>
      <c r="Y22" s="122">
        <f>SUM('Ago 25'!L19)</f>
        <v>409.43712386305276</v>
      </c>
      <c r="Z22" s="108">
        <f>SUM('Pago Cuota MC 2025'!M19)</f>
        <v>409</v>
      </c>
      <c r="AA22" s="119">
        <f>SUM(-Y22,Z22)+Tabla3[[#This Row],[Saldo19]]</f>
        <v>0.12657617799573018</v>
      </c>
      <c r="AB22" s="122">
        <f>SUM('Sep 25'!L19)</f>
        <v>400.46268971608833</v>
      </c>
      <c r="AC22" s="108">
        <f>SUM('Pago Cuota MC 2025'!N19)</f>
        <v>402</v>
      </c>
      <c r="AD22" s="119">
        <f>SUM(-AB22,AC22)+Tabla3[[#This Row],[Saldo22]]</f>
        <v>1.6638864619073956</v>
      </c>
      <c r="AE22" s="122">
        <f>SUM('Oct 25'!L19)</f>
        <v>396.5134375570272</v>
      </c>
      <c r="AF22" s="108">
        <f>SUM('Pago Cuota MC 2025'!O19)</f>
        <v>0</v>
      </c>
      <c r="AG22" s="145">
        <f>SUM(-AE22,AF22)+Tabla3[[#This Row],[Saldo25]]</f>
        <v>-394.84955109511981</v>
      </c>
      <c r="AH22" s="122">
        <f>SUM('Nov 25'!L19)</f>
        <v>413.65449092234371</v>
      </c>
      <c r="AI22" s="108">
        <f>SUM('Pago Cuota MC 2025'!P19)</f>
        <v>810</v>
      </c>
      <c r="AJ22" s="119">
        <f>SUM(-AH22,AI22)+Tabla3[[#This Row],[Saldo28]]</f>
        <v>1.4959579825364813</v>
      </c>
      <c r="AK22" s="122">
        <f>SUM('Dic 25'!L19)</f>
        <v>410.74940663825146</v>
      </c>
      <c r="AL22" s="108">
        <f>SUM('Pago Cuota MC 2025'!Q19)</f>
        <v>0</v>
      </c>
      <c r="AM22" s="145">
        <f>SUM(-AK22,AL22)+Tabla3[[#This Row],[Saldo31]]</f>
        <v>-409.25344865571498</v>
      </c>
      <c r="AN22" s="128">
        <f t="shared" si="1"/>
        <v>-409.25344865571498</v>
      </c>
      <c r="AO22" s="29"/>
      <c r="AP22" s="106">
        <f>SUM(Tabla3[[#This Row],[Saldo Anual]])</f>
        <v>-409.25344865571498</v>
      </c>
    </row>
    <row r="23" spans="1:43" ht="16.149999999999999" thickBot="1" x14ac:dyDescent="0.5">
      <c r="A23" s="313"/>
      <c r="B23" s="16" t="s">
        <v>3</v>
      </c>
      <c r="C23" s="116">
        <v>502</v>
      </c>
      <c r="D23" s="118">
        <f>SUM('Ene 25'!L20)-('Pago Cuota MC 2024'!F20)</f>
        <v>348.02642602314415</v>
      </c>
      <c r="E23" s="108">
        <f>SUM('Pago Cuota MC 2025'!F20)</f>
        <v>348.03</v>
      </c>
      <c r="F23" s="119">
        <f t="shared" si="0"/>
        <v>3.5739768558187279E-3</v>
      </c>
      <c r="G23" s="118">
        <f>SUM('Feb 25'!L20)</f>
        <v>443.2018067288522</v>
      </c>
      <c r="H23" s="108">
        <f>SUM('Pago Cuota MC 2025'!G20)</f>
        <v>443.2</v>
      </c>
      <c r="I23" s="119">
        <f>SUM(-G23,H23)+Tabla3[[#This Row],[Saldo]]</f>
        <v>1.7672480036026172E-3</v>
      </c>
      <c r="J23" s="118">
        <f>SUM('Mar 25'!L20)</f>
        <v>468.66415872955281</v>
      </c>
      <c r="K23" s="108">
        <f>SUM('Pago Cuota MC 2025'!H20)</f>
        <v>468.66</v>
      </c>
      <c r="L23" s="119">
        <f>SUM(-J23,K23)+Tabla3[[#This Row],[Saldo4]]</f>
        <v>-2.3914815491821173E-3</v>
      </c>
      <c r="M23" s="122">
        <f>SUM('Abr 25'!L20)</f>
        <v>485.73756173477329</v>
      </c>
      <c r="N23" s="108">
        <f>SUM('Pago Cuota MC 2025'!I20)</f>
        <v>485.74</v>
      </c>
      <c r="O23" s="119">
        <f>SUM(-M23,N23)+Tabla3[[#This Row],[Saldo7]]</f>
        <v>4.6783677532857837E-5</v>
      </c>
      <c r="P23" s="122">
        <f>SUM('May 25'!L20)</f>
        <v>496.03543698412699</v>
      </c>
      <c r="Q23" s="108">
        <f>SUM('Pago Cuota MC 2025'!J20)</f>
        <v>496.04</v>
      </c>
      <c r="R23" s="119">
        <f>SUM(-P23,Q23)+Tabla3[[#This Row],[Saldo13]]</f>
        <v>4.6097995505647305E-3</v>
      </c>
      <c r="S23" s="122">
        <f>SUM('Jun 25'!L20)</f>
        <v>461.33910913170166</v>
      </c>
      <c r="T23" s="108">
        <f>SUM('Pago Cuota MC 2025'!K20)</f>
        <v>461.33</v>
      </c>
      <c r="U23" s="119">
        <f>SUM(-S23,T23)+Tabla3[[#This Row],[Saldo132]]</f>
        <v>-4.499332151112867E-3</v>
      </c>
      <c r="V23" s="122">
        <f>SUM('Jul 25'!L20)</f>
        <v>482.21449354250569</v>
      </c>
      <c r="W23" s="108">
        <f>SUM('Pago Cuota MC 2025'!L20)</f>
        <v>482.22</v>
      </c>
      <c r="X23" s="119">
        <f>SUM(-V23,W23)+Tabla3[[#This Row],[Saldo16]]</f>
        <v>1.0071253432215599E-3</v>
      </c>
      <c r="Y23" s="122">
        <f>SUM('Ago 25'!L20)</f>
        <v>458.89314942653357</v>
      </c>
      <c r="Z23" s="108">
        <f>SUM('Pago Cuota MC 2025'!M20)</f>
        <v>556.39</v>
      </c>
      <c r="AA23" s="119">
        <f>SUM(-Y23,Z23)+Tabla3[[#This Row],[Saldo19]]</f>
        <v>97.497857698809639</v>
      </c>
      <c r="AB23" s="122">
        <f>SUM('Sep 25'!L20)</f>
        <v>462.18836542586746</v>
      </c>
      <c r="AC23" s="108">
        <f>SUM('Pago Cuota MC 2025'!N20)</f>
        <v>522.19000000000005</v>
      </c>
      <c r="AD23" s="119">
        <f>SUM(-AB23,AC23)+Tabla3[[#This Row],[Saldo22]]</f>
        <v>157.49949227294223</v>
      </c>
      <c r="AE23" s="122">
        <f>SUM('Oct 25'!L20)</f>
        <v>517.69423484781589</v>
      </c>
      <c r="AF23" s="108">
        <f>SUM('Pago Cuota MC 2025'!O20)</f>
        <v>360.19</v>
      </c>
      <c r="AG23" s="145">
        <f>SUM(-AE23,AF23)+Tabla3[[#This Row],[Saldo25]]</f>
        <v>-4.7425748736600326E-3</v>
      </c>
      <c r="AH23" s="122">
        <f>SUM('Nov 25'!L20)</f>
        <v>467.796388399215</v>
      </c>
      <c r="AI23" s="108">
        <f>SUM('Pago Cuota MC 2025'!P20)</f>
        <v>467.8</v>
      </c>
      <c r="AJ23" s="119">
        <f>SUM(-AH23,AI23)+Tabla3[[#This Row],[Saldo28]]</f>
        <v>-1.1309740886531472E-3</v>
      </c>
      <c r="AK23" s="122">
        <f>SUM('Dic 25'!L20)</f>
        <v>447.95075568442235</v>
      </c>
      <c r="AL23" s="108">
        <f>SUM('Pago Cuota MC 2025'!Q20)</f>
        <v>447.95</v>
      </c>
      <c r="AM23" s="145">
        <f>SUM(-AK23,AL23)+Tabla3[[#This Row],[Saldo31]]</f>
        <v>-1.886658511011774E-3</v>
      </c>
      <c r="AN23" s="128">
        <f t="shared" si="1"/>
        <v>-1.886658511011774E-3</v>
      </c>
      <c r="AO23" s="29"/>
      <c r="AP23" s="106" t="s">
        <v>12</v>
      </c>
    </row>
    <row r="24" spans="1:43" ht="16.149999999999999" thickBot="1" x14ac:dyDescent="0.5">
      <c r="A24" s="313"/>
      <c r="B24" s="16" t="s">
        <v>3</v>
      </c>
      <c r="C24" s="116">
        <v>503</v>
      </c>
      <c r="D24" s="118">
        <f>SUM('Ene 25'!L21)-('Pago Cuota MC 2024'!F21)</f>
        <v>309.60813075895402</v>
      </c>
      <c r="E24" s="108">
        <f>SUM('Pago Cuota MC 2025'!F21)</f>
        <v>350</v>
      </c>
      <c r="F24" s="119">
        <f t="shared" si="0"/>
        <v>40.391869241045981</v>
      </c>
      <c r="G24" s="118">
        <f>SUM('Feb 25'!L21)</f>
        <v>372.02035173027627</v>
      </c>
      <c r="H24" s="108">
        <f>SUM('Pago Cuota MC 2025'!G21)</f>
        <v>350</v>
      </c>
      <c r="I24" s="119">
        <f>SUM(-G24,H24)+Tabla3[[#This Row],[Saldo]]</f>
        <v>18.371517510769706</v>
      </c>
      <c r="J24" s="118">
        <f>SUM('Mar 25'!L21)</f>
        <v>383.08059449836418</v>
      </c>
      <c r="K24" s="108">
        <f>SUM('Pago Cuota MC 2025'!H21)</f>
        <v>450</v>
      </c>
      <c r="L24" s="119">
        <f>SUM(-J24,K24)+Tabla3[[#This Row],[Saldo4]]</f>
        <v>85.290923012405528</v>
      </c>
      <c r="M24" s="122">
        <f>SUM('Abr 25'!L21)</f>
        <v>381.64318091165592</v>
      </c>
      <c r="N24" s="108">
        <f>SUM('Pago Cuota MC 2025'!I21)</f>
        <v>400</v>
      </c>
      <c r="O24" s="119">
        <f>SUM(-M24,N24)+Tabla3[[#This Row],[Saldo7]]</f>
        <v>103.64774210074961</v>
      </c>
      <c r="P24" s="122">
        <f>SUM('May 25'!L21)</f>
        <v>405.23980126984128</v>
      </c>
      <c r="Q24" s="108">
        <f>SUM('Pago Cuota MC 2025'!J21)</f>
        <v>400</v>
      </c>
      <c r="R24" s="119">
        <f>SUM(-P24,Q24)+Tabla3[[#This Row],[Saldo13]]</f>
        <v>98.407940830908331</v>
      </c>
      <c r="S24" s="122">
        <f>SUM('Jun 25'!L21)</f>
        <v>402.99475905101309</v>
      </c>
      <c r="T24" s="108">
        <f>SUM('Pago Cuota MC 2025'!K21)</f>
        <v>400</v>
      </c>
      <c r="U24" s="119">
        <f>SUM(-S24,T24)+Tabla3[[#This Row],[Saldo132]]</f>
        <v>95.41318177989524</v>
      </c>
      <c r="V24" s="122">
        <f>SUM('Jul 25'!L21)</f>
        <v>412.01744347226128</v>
      </c>
      <c r="W24" s="108">
        <f>SUM('Pago Cuota MC 2025'!L21)</f>
        <v>450</v>
      </c>
      <c r="X24" s="119">
        <f>SUM(-V24,W24)+Tabla3[[#This Row],[Saldo16]]</f>
        <v>133.39573830763396</v>
      </c>
      <c r="Y24" s="122">
        <f>SUM('Ago 25'!L21)</f>
        <v>418.34061613124106</v>
      </c>
      <c r="Z24" s="108">
        <f>SUM('Pago Cuota MC 2025'!M21)</f>
        <v>450</v>
      </c>
      <c r="AA24" s="119">
        <f>SUM(-Y24,Z24)+Tabla3[[#This Row],[Saldo19]]</f>
        <v>165.0551221763929</v>
      </c>
      <c r="AB24" s="122">
        <f>SUM('Sep 25'!L21)</f>
        <v>408.00136227129337</v>
      </c>
      <c r="AC24" s="108">
        <f>SUM('Pago Cuota MC 2025'!N21)</f>
        <v>450</v>
      </c>
      <c r="AD24" s="119">
        <f>SUM(-AB24,AC24)+Tabla3[[#This Row],[Saldo22]]</f>
        <v>207.05375990509953</v>
      </c>
      <c r="AE24" s="122">
        <f>SUM('Oct 25'!L21)</f>
        <v>404.01836488995917</v>
      </c>
      <c r="AF24" s="108">
        <f>SUM('Pago Cuota MC 2025'!O21)</f>
        <v>450</v>
      </c>
      <c r="AG24" s="145">
        <f>SUM(-AE24,AF24)+Tabla3[[#This Row],[Saldo25]]</f>
        <v>253.03539501514035</v>
      </c>
      <c r="AH24" s="122">
        <f>SUM('Nov 25'!L21)</f>
        <v>409.71660967760022</v>
      </c>
      <c r="AI24" s="108">
        <f>SUM('Pago Cuota MC 2025'!P21)</f>
        <v>450</v>
      </c>
      <c r="AJ24" s="119">
        <f>SUM(-AH24,AI24)+Tabla3[[#This Row],[Saldo28]]</f>
        <v>293.31878533754013</v>
      </c>
      <c r="AK24" s="122">
        <f>SUM('Dic 25'!L21)</f>
        <v>412.75391672948734</v>
      </c>
      <c r="AL24" s="108">
        <f>SUM('Pago Cuota MC 2025'!Q21)</f>
        <v>450</v>
      </c>
      <c r="AM24" s="145">
        <f>SUM(-AK24,AL24)+Tabla3[[#This Row],[Saldo31]]</f>
        <v>330.56486860805279</v>
      </c>
      <c r="AN24" s="128">
        <f t="shared" si="1"/>
        <v>330.56486860805279</v>
      </c>
      <c r="AO24" s="29"/>
      <c r="AP24" s="106" t="s">
        <v>12</v>
      </c>
    </row>
    <row r="25" spans="1:43" ht="16.149999999999999" thickBot="1" x14ac:dyDescent="0.5">
      <c r="A25" s="313"/>
      <c r="B25" s="16" t="s">
        <v>3</v>
      </c>
      <c r="C25" s="116">
        <v>504</v>
      </c>
      <c r="D25" s="118">
        <f>SUM('Ene 25'!L22)-('Pago Cuota MC 2024'!F22)</f>
        <v>314.81641678144774</v>
      </c>
      <c r="E25" s="108">
        <f>SUM('Pago Cuota MC 2025'!F22)</f>
        <v>314.82</v>
      </c>
      <c r="F25" s="119">
        <f t="shared" si="0"/>
        <v>3.5832185522508553E-3</v>
      </c>
      <c r="G25" s="118">
        <f>SUM('Feb 25'!L22)</f>
        <v>326.63205594559957</v>
      </c>
      <c r="H25" s="108">
        <f>SUM('Pago Cuota MC 2025'!G22)</f>
        <v>326.63</v>
      </c>
      <c r="I25" s="119">
        <f>SUM(-G25,H25)+Tabla3[[#This Row],[Saldo]]</f>
        <v>1.5272729526714102E-3</v>
      </c>
      <c r="J25" s="118">
        <f>SUM('Mar 25'!L22)</f>
        <v>330.41711494547434</v>
      </c>
      <c r="K25" s="108">
        <f>SUM('Pago Cuota MC 2025'!H22)</f>
        <v>330.42</v>
      </c>
      <c r="L25" s="119">
        <f>SUM(-J25,K25)+Tabla3[[#This Row],[Saldo4]]</f>
        <v>4.4123274783487432E-3</v>
      </c>
      <c r="M25" s="122">
        <f>SUM('Abr 25'!L22)</f>
        <v>321.96549299571899</v>
      </c>
      <c r="N25" s="108">
        <f>SUM('Pago Cuota MC 2025'!I22)</f>
        <v>321.95999999999998</v>
      </c>
      <c r="O25" s="119">
        <f>SUM(-M25,N25)+Tabla3[[#This Row],[Saldo7]]</f>
        <v>-1.080668240660998E-3</v>
      </c>
      <c r="P25" s="122">
        <f>SUM('May 25'!L22)</f>
        <v>345.39254650793652</v>
      </c>
      <c r="Q25" s="108">
        <f>SUM('Pago Cuota MC 2025'!J22)</f>
        <v>345.39</v>
      </c>
      <c r="R25" s="119">
        <f>SUM(-P25,Q25)+Tabla3[[#This Row],[Saldo13]]</f>
        <v>-3.6271761771899946E-3</v>
      </c>
      <c r="S25" s="122">
        <f>SUM('Jun 25'!L22)</f>
        <v>339.57578156311638</v>
      </c>
      <c r="T25" s="108">
        <f>SUM('Pago Cuota MC 2025'!K22)</f>
        <v>339.58</v>
      </c>
      <c r="U25" s="119">
        <f>SUM(-S25,T25)+Tabla3[[#This Row],[Saldo132]]</f>
        <v>5.9126070641468687E-4</v>
      </c>
      <c r="V25" s="122">
        <f>SUM('Jul 25'!L22)</f>
        <v>336.86147966220227</v>
      </c>
      <c r="W25" s="108">
        <f>SUM('Pago Cuota MC 2025'!L22)</f>
        <v>336.86</v>
      </c>
      <c r="X25" s="119">
        <f>SUM(-V25,W25)+Tabla3[[#This Row],[Saldo16]]</f>
        <v>-8.8840149584257233E-4</v>
      </c>
      <c r="Y25" s="122">
        <f>SUM('Ago 25'!L22)</f>
        <v>331.85122417689018</v>
      </c>
      <c r="Z25" s="108">
        <f>SUM('Pago Cuota MC 2025'!M22)</f>
        <v>331.85</v>
      </c>
      <c r="AA25" s="119">
        <f>SUM(-Y25,Z25)+Tabla3[[#This Row],[Saldo19]]</f>
        <v>-2.1125783860043157E-3</v>
      </c>
      <c r="AB25" s="122">
        <f>SUM('Sep 25'!L22)</f>
        <v>327.28979381703465</v>
      </c>
      <c r="AC25" s="108">
        <f>SUM('Pago Cuota MC 2025'!N22)</f>
        <v>327.29000000000002</v>
      </c>
      <c r="AD25" s="119">
        <f>SUM(-AB25,AC25)+Tabla3[[#This Row],[Saldo22]]</f>
        <v>-1.9063954206330891E-3</v>
      </c>
      <c r="AE25" s="122">
        <f>SUM('Oct 25'!L22)</f>
        <v>323.66808415546188</v>
      </c>
      <c r="AF25" s="108">
        <f>SUM('Pago Cuota MC 2025'!O22)</f>
        <v>323.67</v>
      </c>
      <c r="AG25" s="145">
        <f>SUM(-AE25,AF25)+Tabla3[[#This Row],[Saldo25]]</f>
        <v>9.4491174991162552E-6</v>
      </c>
      <c r="AH25" s="122">
        <f>SUM('Nov 25'!L22)</f>
        <v>338.21548368937482</v>
      </c>
      <c r="AI25" s="108">
        <f>SUM('Pago Cuota MC 2025'!P22)</f>
        <v>338.22</v>
      </c>
      <c r="AJ25" s="119">
        <f>SUM(-AH25,AI25)+Tabla3[[#This Row],[Saldo28]]</f>
        <v>4.5257597427053042E-3</v>
      </c>
      <c r="AK25" s="122">
        <f>SUM('Dic 25'!L22)</f>
        <v>333.98453096780639</v>
      </c>
      <c r="AL25" s="108">
        <f>SUM('Pago Cuota MC 2025'!Q22)</f>
        <v>333.98</v>
      </c>
      <c r="AM25" s="145">
        <f>SUM(-AK25,AL25)+Tabla3[[#This Row],[Saldo31]]</f>
        <v>-5.2080636692153348E-6</v>
      </c>
      <c r="AN25" s="128">
        <f t="shared" si="1"/>
        <v>-5.2080636692153348E-6</v>
      </c>
      <c r="AO25" s="29"/>
      <c r="AP25" s="106" t="s">
        <v>12</v>
      </c>
    </row>
    <row r="26" spans="1:43" ht="16.149999999999999" thickBot="1" x14ac:dyDescent="0.5">
      <c r="A26" s="312"/>
      <c r="B26" s="16" t="s">
        <v>4</v>
      </c>
      <c r="C26" s="116">
        <v>101</v>
      </c>
      <c r="D26" s="118">
        <f>SUM('Ene 25'!L23)-('Pago Cuota MC 2024'!F23)</f>
        <v>328.90682466455746</v>
      </c>
      <c r="E26" s="108">
        <f>SUM('Pago Cuota MC 2025'!F23)</f>
        <v>328.91</v>
      </c>
      <c r="F26" s="119">
        <f t="shared" si="0"/>
        <v>3.1753354425632097E-3</v>
      </c>
      <c r="G26" s="118">
        <f>SUM('Feb 25'!L23)</f>
        <v>359.70251493164341</v>
      </c>
      <c r="H26" s="108">
        <f>SUM('Pago Cuota MC 2025'!G23)</f>
        <v>359.7</v>
      </c>
      <c r="I26" s="119">
        <f>SUM(-G26,H26)+Tabla3[[#This Row],[Saldo]]</f>
        <v>6.6040379914511504E-4</v>
      </c>
      <c r="J26" s="118">
        <f>SUM('Mar 25'!L23)</f>
        <v>373.73218751908394</v>
      </c>
      <c r="K26" s="108">
        <f>SUM('Pago Cuota MC 2025'!H23)</f>
        <v>373.73</v>
      </c>
      <c r="L26" s="119">
        <f>SUM(-J26,K26)+Tabla3[[#This Row],[Saldo4]]</f>
        <v>-1.5271152847731173E-3</v>
      </c>
      <c r="M26" s="122">
        <f>SUM('Abr 25'!L23)</f>
        <v>363.82038817960688</v>
      </c>
      <c r="N26" s="108">
        <f>SUM('Pago Cuota MC 2025'!I23)</f>
        <v>363.82</v>
      </c>
      <c r="O26" s="119">
        <f>SUM(-M26,N26)+Tabla3[[#This Row],[Saldo7]]</f>
        <v>-1.9152948916598689E-3</v>
      </c>
      <c r="P26" s="122">
        <f>SUM('May 25'!L23)</f>
        <v>377.4562215079365</v>
      </c>
      <c r="Q26" s="108">
        <f>SUM('Pago Cuota MC 2025'!J23)</f>
        <v>377.46</v>
      </c>
      <c r="R26" s="119">
        <f>SUM(-P26,Q26)+Tabla3[[#This Row],[Saldo13]]</f>
        <v>1.8631971718150453E-3</v>
      </c>
      <c r="S26" s="122">
        <f>SUM('Jun 25'!L23)</f>
        <v>361.67675447866236</v>
      </c>
      <c r="T26" s="108">
        <f>SUM('Pago Cuota MC 2025'!K23)</f>
        <v>361.67</v>
      </c>
      <c r="U26" s="119">
        <f>SUM(-S26,T26)+Tabla3[[#This Row],[Saldo132]]</f>
        <v>-4.8912814905293089E-3</v>
      </c>
      <c r="V26" s="122">
        <f>SUM('Jul 25'!L23)</f>
        <v>363.28680576504013</v>
      </c>
      <c r="W26" s="108">
        <f>SUM('Pago Cuota MC 2025'!L23)</f>
        <v>0</v>
      </c>
      <c r="X26" s="119">
        <f>SUM(-V26,W26)+Tabla3[[#This Row],[Saldo16]]</f>
        <v>-363.29169704653066</v>
      </c>
      <c r="Y26" s="122">
        <f>SUM('Ago 25'!L23)</f>
        <v>362.8003420085592</v>
      </c>
      <c r="Z26" s="108">
        <f>SUM('Pago Cuota MC 2025'!M23)</f>
        <v>726.09</v>
      </c>
      <c r="AA26" s="119">
        <f>SUM(-Y26,Z26)+Tabla3[[#This Row],[Saldo19]]</f>
        <v>-2.0390550898241599E-3</v>
      </c>
      <c r="AB26" s="122">
        <f>SUM('Sep 25'!L23)</f>
        <v>361.22353009463723</v>
      </c>
      <c r="AC26" s="108">
        <f>SUM('Pago Cuota MC 2025'!N23)</f>
        <v>361.23</v>
      </c>
      <c r="AD26" s="119">
        <f>SUM(-AB26,AC26)+Tabla3[[#This Row],[Saldo22]]</f>
        <v>4.4308502729677457E-3</v>
      </c>
      <c r="AE26" s="122">
        <f>SUM('Oct 25'!L23)</f>
        <v>357.44992346912835</v>
      </c>
      <c r="AF26" s="108">
        <f>SUM('Pago Cuota MC 2025'!O23)</f>
        <v>357.45</v>
      </c>
      <c r="AG26" s="145">
        <f>SUM(-AE26,AF26)+Tabla3[[#This Row],[Saldo25]]</f>
        <v>4.5073811446059153E-3</v>
      </c>
      <c r="AH26" s="122">
        <f>SUM('Nov 25'!L23)</f>
        <v>364.10149537987104</v>
      </c>
      <c r="AI26" s="108">
        <f>SUM('Pago Cuota MC 2025'!P23)</f>
        <v>364.1</v>
      </c>
      <c r="AJ26" s="119">
        <f>SUM(-AH26,AI26)+Tabla3[[#This Row],[Saldo28]]</f>
        <v>3.0120012735892487E-3</v>
      </c>
      <c r="AK26" s="122">
        <f>SUM('Dic 25'!L23)</f>
        <v>356.30140998356529</v>
      </c>
      <c r="AL26" s="108">
        <f>SUM('Pago Cuota MC 2025'!Q23)</f>
        <v>356.3</v>
      </c>
      <c r="AM26" s="145">
        <f>SUM(-AK26,AL26)+Tabla3[[#This Row],[Saldo31]]</f>
        <v>1.6020177083078124E-3</v>
      </c>
      <c r="AN26" s="128">
        <f t="shared" si="1"/>
        <v>1.6020177083078124E-3</v>
      </c>
      <c r="AO26" s="29"/>
      <c r="AP26" s="106" t="s">
        <v>12</v>
      </c>
    </row>
    <row r="27" spans="1:43" ht="16.149999999999999" thickBot="1" x14ac:dyDescent="0.5">
      <c r="A27" s="312"/>
      <c r="B27" s="16" t="s">
        <v>4</v>
      </c>
      <c r="C27" s="116">
        <v>102</v>
      </c>
      <c r="D27" s="118">
        <f>SUM('Ene 25'!L24)-('Pago Cuota MC 2024'!F24)</f>
        <v>365.95652213037192</v>
      </c>
      <c r="E27" s="108">
        <f>SUM('Pago Cuota MC 2025'!F24)</f>
        <v>0</v>
      </c>
      <c r="F27" s="119">
        <f t="shared" si="0"/>
        <v>-365.95652213037192</v>
      </c>
      <c r="G27" s="118">
        <f>SUM('Feb 25'!L24)</f>
        <v>439.37845654371978</v>
      </c>
      <c r="H27" s="108">
        <f>SUM('Pago Cuota MC 2025'!G24)</f>
        <v>0</v>
      </c>
      <c r="I27" s="119">
        <f>SUM(-G27,H27)+Tabla3[[#This Row],[Saldo]]</f>
        <v>-805.33497867409164</v>
      </c>
      <c r="J27" s="118">
        <f>SUM('Mar 25'!L24)</f>
        <v>420.16579384405668</v>
      </c>
      <c r="K27" s="108">
        <f>SUM('Pago Cuota MC 2025'!H24)</f>
        <v>1087.1599999999999</v>
      </c>
      <c r="L27" s="119">
        <f>SUM(-J27,K27)+Tabla3[[#This Row],[Saldo4]]</f>
        <v>-138.34077251814847</v>
      </c>
      <c r="M27" s="122">
        <f>SUM('Abr 25'!L24)</f>
        <v>417.32215332846857</v>
      </c>
      <c r="N27" s="108">
        <f>SUM('Pago Cuota MC 2025'!I24)</f>
        <v>542.5</v>
      </c>
      <c r="O27" s="119">
        <f>SUM(-M27,N27)+Tabla3[[#This Row],[Saldo7]]</f>
        <v>-13.162925846617043</v>
      </c>
      <c r="P27" s="122">
        <f>SUM('May 25'!L24)</f>
        <v>408.89434412698415</v>
      </c>
      <c r="Q27" s="108">
        <f>SUM('Pago Cuota MC 2025'!J24)</f>
        <v>0</v>
      </c>
      <c r="R27" s="119">
        <f>SUM(-P27,Q27)+Tabla3[[#This Row],[Saldo13]]</f>
        <v>-422.05726997360119</v>
      </c>
      <c r="S27" s="122">
        <f>SUM('Jun 25'!L24)</f>
        <v>434.84616012686035</v>
      </c>
      <c r="T27" s="108">
        <f>SUM('Pago Cuota MC 2025'!K24)</f>
        <v>0</v>
      </c>
      <c r="U27" s="119">
        <f>SUM(-S27,T27)+Tabla3[[#This Row],[Saldo132]]</f>
        <v>-856.90343010046149</v>
      </c>
      <c r="V27" s="122">
        <f>SUM('Jul 25'!L24)</f>
        <v>419.41058368018486</v>
      </c>
      <c r="W27" s="108">
        <f>SUM('Pago Cuota MC 2025'!L24)</f>
        <v>0</v>
      </c>
      <c r="X27" s="119">
        <f>SUM(-V27,W27)+Tabla3[[#This Row],[Saldo16]]</f>
        <v>-1276.3140137806463</v>
      </c>
      <c r="Y27" s="122">
        <f>SUM('Ago 25'!L24)</f>
        <v>423.64839359201142</v>
      </c>
      <c r="Z27" s="108">
        <f>SUM('Pago Cuota MC 2025'!M24)</f>
        <v>0</v>
      </c>
      <c r="AA27" s="119">
        <f>SUM(-Y27,Z27)+Tabla3[[#This Row],[Saldo19]]</f>
        <v>-1699.9624073726577</v>
      </c>
      <c r="AB27" s="122">
        <f>SUM('Sep 25'!L24)</f>
        <v>429.95215848580438</v>
      </c>
      <c r="AC27" s="108">
        <f>SUM('Pago Cuota MC 2025'!N24)</f>
        <v>0</v>
      </c>
      <c r="AD27" s="119">
        <f>SUM(-AB27,AC27)+Tabla3[[#This Row],[Saldo22]]</f>
        <v>-2129.9145658584621</v>
      </c>
      <c r="AE27" s="122">
        <f>SUM('Oct 25'!L24)</f>
        <v>425.91566597364374</v>
      </c>
      <c r="AF27" s="108">
        <f>SUM('Pago Cuota MC 2025'!O24)</f>
        <v>0</v>
      </c>
      <c r="AG27" s="145">
        <f>SUM(-AE27,AF27)+Tabla3[[#This Row],[Saldo25]]</f>
        <v>-2555.8302318321057</v>
      </c>
      <c r="AH27" s="122">
        <f>SUM('Nov 25'!L24)</f>
        <v>441.54962061115782</v>
      </c>
      <c r="AI27" s="108">
        <f>SUM('Pago Cuota MC 2025'!P24)</f>
        <v>0</v>
      </c>
      <c r="AJ27" s="119">
        <f>SUM(-AH27,AI27)+Tabla3[[#This Row],[Saldo28]]</f>
        <v>-2997.3798524432636</v>
      </c>
      <c r="AK27" s="122">
        <f>SUM('Dic 25'!L24)</f>
        <v>404.79979497112402</v>
      </c>
      <c r="AL27" s="108">
        <f>SUM('Pago Cuota MC 2025'!Q24)</f>
        <v>0</v>
      </c>
      <c r="AM27" s="145">
        <f>SUM(-AK27,AL27)+Tabla3[[#This Row],[Saldo31]]</f>
        <v>-3402.1796474143875</v>
      </c>
      <c r="AN27" s="128">
        <f t="shared" si="1"/>
        <v>-3402.1796474143875</v>
      </c>
      <c r="AO27" s="29"/>
      <c r="AP27" s="106">
        <f>SUM(Tabla3[[#This Row],[Saldo Anual]])</f>
        <v>-3402.1796474143875</v>
      </c>
    </row>
    <row r="28" spans="1:43" ht="16.149999999999999" thickBot="1" x14ac:dyDescent="0.5">
      <c r="A28" s="312"/>
      <c r="B28" s="16" t="s">
        <v>4</v>
      </c>
      <c r="C28" s="116">
        <v>103</v>
      </c>
      <c r="D28" s="118">
        <f>SUM('Ene 25'!L25)-('Pago Cuota MC 2024'!F25)</f>
        <v>339.93495582802342</v>
      </c>
      <c r="E28" s="108">
        <f>SUM('Pago Cuota MC 2025'!F25)</f>
        <v>339.93</v>
      </c>
      <c r="F28" s="119">
        <f t="shared" si="0"/>
        <v>-4.9558280234123231E-3</v>
      </c>
      <c r="G28" s="118">
        <f>SUM('Feb 25'!L25)</f>
        <v>389.98875175875821</v>
      </c>
      <c r="H28" s="108">
        <f>SUM('Pago Cuota MC 2025'!G25)</f>
        <v>389.99</v>
      </c>
      <c r="I28" s="119">
        <f>SUM(-G28,H28)+Tabla3[[#This Row],[Saldo]]</f>
        <v>-3.707586781615646E-3</v>
      </c>
      <c r="J28" s="118">
        <f>SUM('Mar 25'!L25)</f>
        <v>406.44374291712097</v>
      </c>
      <c r="K28" s="108">
        <f>SUM('Pago Cuota MC 2025'!H25)</f>
        <v>406.45</v>
      </c>
      <c r="L28" s="119">
        <f>SUM(-J28,K28)+Tabla3[[#This Row],[Saldo4]]</f>
        <v>2.5494960974015157E-3</v>
      </c>
      <c r="M28" s="122">
        <f>SUM('Abr 25'!L25)</f>
        <v>384.88812469449306</v>
      </c>
      <c r="N28" s="108">
        <f>SUM('Pago Cuota MC 2025'!I25)</f>
        <v>0</v>
      </c>
      <c r="O28" s="119">
        <f>SUM(-M28,N28)+Tabla3[[#This Row],[Saldo7]]</f>
        <v>-384.88557519839566</v>
      </c>
      <c r="P28" s="122">
        <f>SUM('May 25'!L25)</f>
        <v>395.45319888888889</v>
      </c>
      <c r="Q28" s="108">
        <f>SUM('Pago Cuota MC 2025'!J25)</f>
        <v>780.34</v>
      </c>
      <c r="R28" s="119">
        <f>SUM(-P28,Q28)+Tabla3[[#This Row],[Saldo13]]</f>
        <v>1.2259127154834459E-3</v>
      </c>
      <c r="S28" s="122">
        <f>SUM('Jun 25'!L25)</f>
        <v>393.51102914246013</v>
      </c>
      <c r="T28" s="108">
        <f>SUM('Pago Cuota MC 2025'!K25)</f>
        <v>393.51</v>
      </c>
      <c r="U28" s="119">
        <f>SUM(-S28,T28)+Tabla3[[#This Row],[Saldo132]]</f>
        <v>1.9677025534292625E-4</v>
      </c>
      <c r="V28" s="122">
        <f>SUM('Jul 25'!L25)</f>
        <v>386.00372681027756</v>
      </c>
      <c r="W28" s="108">
        <f>SUM('Pago Cuota MC 2025'!L25)</f>
        <v>386</v>
      </c>
      <c r="X28" s="119">
        <f>SUM(-V28,W28)+Tabla3[[#This Row],[Saldo16]]</f>
        <v>-3.5300400222126882E-3</v>
      </c>
      <c r="Y28" s="122">
        <f>SUM('Ago 25'!L25)</f>
        <v>380.15374503281026</v>
      </c>
      <c r="Z28" s="108">
        <f>SUM('Pago Cuota MC 2025'!M25)</f>
        <v>380.16</v>
      </c>
      <c r="AA28" s="119">
        <f>SUM(-Y28,Z28)+Tabla3[[#This Row],[Saldo19]]</f>
        <v>2.7249271675486852E-3</v>
      </c>
      <c r="AB28" s="122">
        <f>SUM('Sep 25'!L25)</f>
        <v>382.1500461829653</v>
      </c>
      <c r="AC28" s="108">
        <f>SUM('Pago Cuota MC 2025'!N25)</f>
        <v>382.15</v>
      </c>
      <c r="AD28" s="119">
        <f>SUM(-AB28,AC28)+Tabla3[[#This Row],[Saldo22]]</f>
        <v>2.6787442022282448E-3</v>
      </c>
      <c r="AE28" s="122">
        <f>SUM('Oct 25'!L25)</f>
        <v>378.28276657569069</v>
      </c>
      <c r="AF28" s="108">
        <f>SUM('Pago Cuota MC 2025'!O25)</f>
        <v>378.29</v>
      </c>
      <c r="AG28" s="145">
        <f>SUM(-AE28,AF28)+Tabla3[[#This Row],[Saldo25]]</f>
        <v>9.9121685115619584E-3</v>
      </c>
      <c r="AH28" s="122">
        <f>SUM('Nov 25'!L25)</f>
        <v>400.79683230165404</v>
      </c>
      <c r="AI28" s="108">
        <f>SUM('Pago Cuota MC 2025'!P25)</f>
        <v>401</v>
      </c>
      <c r="AJ28" s="119">
        <f>SUM(-AH28,AI28)+Tabla3[[#This Row],[Saldo28]]</f>
        <v>0.21307986685752667</v>
      </c>
      <c r="AK28" s="122">
        <f>SUM('Dic 25'!L25)</f>
        <v>396.74534888320591</v>
      </c>
      <c r="AL28" s="108">
        <f>SUM('Pago Cuota MC 2025'!Q25)</f>
        <v>397</v>
      </c>
      <c r="AM28" s="145">
        <f>SUM(-AK28,AL28)+Tabla3[[#This Row],[Saldo31]]</f>
        <v>0.46773098365162014</v>
      </c>
      <c r="AN28" s="128">
        <f t="shared" si="1"/>
        <v>0.46773098365162014</v>
      </c>
      <c r="AO28" s="29"/>
      <c r="AP28" s="106" t="s">
        <v>12</v>
      </c>
    </row>
    <row r="29" spans="1:43" ht="16.149999999999999" thickBot="1" x14ac:dyDescent="0.5">
      <c r="A29" s="312"/>
      <c r="B29" s="16" t="s">
        <v>4</v>
      </c>
      <c r="C29" s="116">
        <v>104</v>
      </c>
      <c r="D29" s="118">
        <f>SUM('Ene 25'!L26)-('Pago Cuota MC 2024'!F26)</f>
        <v>339.44756554799596</v>
      </c>
      <c r="E29" s="108">
        <f>SUM('Pago Cuota MC 2025'!F26)</f>
        <v>339.45</v>
      </c>
      <c r="F29" s="119">
        <f t="shared" si="0"/>
        <v>2.4344520040244788E-3</v>
      </c>
      <c r="G29" s="118">
        <f>SUM('Feb 25'!L26)</f>
        <v>383.04774848333813</v>
      </c>
      <c r="H29" s="108">
        <f>SUM('Pago Cuota MC 2025'!G26)</f>
        <v>383.05</v>
      </c>
      <c r="I29" s="119">
        <f>SUM(-G29,H29)+Tabla3[[#This Row],[Saldo]]</f>
        <v>4.6859686659104227E-3</v>
      </c>
      <c r="J29" s="118">
        <f>SUM('Mar 25'!L26)</f>
        <v>391.17389128135221</v>
      </c>
      <c r="K29" s="108">
        <f>SUM('Pago Cuota MC 2025'!H26)</f>
        <v>391.17</v>
      </c>
      <c r="L29" s="119">
        <f>SUM(-J29,K29)+Tabla3[[#This Row],[Saldo4]]</f>
        <v>7.9468731371434842E-4</v>
      </c>
      <c r="M29" s="122">
        <f>SUM('Abr 25'!L26)</f>
        <v>392.12215350359992</v>
      </c>
      <c r="N29" s="108">
        <f>SUM('Pago Cuota MC 2025'!I26)</f>
        <v>392.12</v>
      </c>
      <c r="O29" s="119">
        <f>SUM(-M29,N29)+Tabla3[[#This Row],[Saldo7]]</f>
        <v>-1.3588162861992714E-3</v>
      </c>
      <c r="P29" s="122">
        <f>SUM('May 25'!L26)</f>
        <v>392.72052269841271</v>
      </c>
      <c r="Q29" s="108">
        <f>SUM('Pago Cuota MC 2025'!J26)</f>
        <v>392.7</v>
      </c>
      <c r="R29" s="119">
        <f>SUM(-P29,Q29)+Tabla3[[#This Row],[Saldo13]]</f>
        <v>-2.1881514698918636E-2</v>
      </c>
      <c r="S29" s="122">
        <f>SUM('Jun 25'!L26)</f>
        <v>396.8782682495069</v>
      </c>
      <c r="T29" s="108">
        <f>SUM('Pago Cuota MC 2025'!K26)</f>
        <v>396.4</v>
      </c>
      <c r="U29" s="119">
        <f>SUM(-S29,T29)+Tabla3[[#This Row],[Saldo132]]</f>
        <v>-0.50014976420584389</v>
      </c>
      <c r="V29" s="122">
        <f>SUM('Jul 25'!L26)</f>
        <v>381.4446622415785</v>
      </c>
      <c r="W29" s="108">
        <f>SUM('Pago Cuota MC 2025'!L26)</f>
        <v>381.94</v>
      </c>
      <c r="X29" s="119">
        <f>SUM(-V29,W29)+Tabla3[[#This Row],[Saldo16]]</f>
        <v>-4.8120057843448194E-3</v>
      </c>
      <c r="Y29" s="122">
        <f>SUM('Ago 25'!L26)</f>
        <v>396.76421282168332</v>
      </c>
      <c r="Z29" s="108">
        <f>SUM('Pago Cuota MC 2025'!M26)</f>
        <v>396.77</v>
      </c>
      <c r="AA29" s="119">
        <f>SUM(-Y29,Z29)+Tabla3[[#This Row],[Saldo19]]</f>
        <v>9.7517253232126677E-4</v>
      </c>
      <c r="AB29" s="122">
        <f>SUM('Sep 25'!L26)</f>
        <v>375.9435553312303</v>
      </c>
      <c r="AC29" s="108">
        <f>SUM('Pago Cuota MC 2025'!N26)</f>
        <v>375.94</v>
      </c>
      <c r="AD29" s="119">
        <f>SUM(-AB29,AC29)+Tabla3[[#This Row],[Saldo22]]</f>
        <v>-2.5801586979810054E-3</v>
      </c>
      <c r="AE29" s="122">
        <f>SUM('Oct 25'!L26)</f>
        <v>372.10405772560034</v>
      </c>
      <c r="AF29" s="108">
        <f>SUM('Pago Cuota MC 2025'!O26)</f>
        <v>372.11</v>
      </c>
      <c r="AG29" s="145">
        <f>SUM(-AE29,AF29)+Tabla3[[#This Row],[Saldo25]]</f>
        <v>3.362115701690982E-3</v>
      </c>
      <c r="AH29" s="122">
        <f>SUM('Nov 25'!L26)</f>
        <v>376.84006485001402</v>
      </c>
      <c r="AI29" s="108">
        <f>SUM('Pago Cuota MC 2025'!P26)</f>
        <v>376.84</v>
      </c>
      <c r="AJ29" s="119">
        <f>SUM(-AH29,AI29)+Tabla3[[#This Row],[Saldo28]]</f>
        <v>3.2972656876495421E-3</v>
      </c>
      <c r="AK29" s="122">
        <f>SUM('Dic 25'!L26)</f>
        <v>368.59180813120145</v>
      </c>
      <c r="AL29" s="108">
        <f>SUM('Pago Cuota MC 2025'!Q26)</f>
        <v>368.52</v>
      </c>
      <c r="AM29" s="145">
        <f>SUM(-AK29,AL29)+Tabla3[[#This Row],[Saldo31]]</f>
        <v>-6.8510865513815133E-2</v>
      </c>
      <c r="AN29" s="128">
        <f t="shared" si="1"/>
        <v>-6.8510865513815133E-2</v>
      </c>
      <c r="AO29" s="29"/>
      <c r="AP29" s="106">
        <f>SUM(Tabla3[[#This Row],[Saldo Anual]])</f>
        <v>-6.8510865513815133E-2</v>
      </c>
      <c r="AQ29" t="s">
        <v>12</v>
      </c>
    </row>
    <row r="30" spans="1:43" ht="16.149999999999999" thickBot="1" x14ac:dyDescent="0.5">
      <c r="A30" s="312"/>
      <c r="B30" s="16" t="s">
        <v>4</v>
      </c>
      <c r="C30" s="116">
        <v>201</v>
      </c>
      <c r="D30" s="118">
        <f>SUM('Ene 25'!L27)-('Pago Cuota MC 2024'!F27)</f>
        <v>351.25425684684552</v>
      </c>
      <c r="E30" s="108">
        <f>SUM('Pago Cuota MC 2025'!F27)</f>
        <v>498.05</v>
      </c>
      <c r="F30" s="119">
        <f t="shared" si="0"/>
        <v>146.79574315315449</v>
      </c>
      <c r="G30" s="118">
        <f>SUM('Feb 25'!L27)</f>
        <v>423.43956676872688</v>
      </c>
      <c r="H30" s="108">
        <f>SUM('Pago Cuota MC 2025'!G27)</f>
        <v>150</v>
      </c>
      <c r="I30" s="119">
        <f>SUM(-G30,H30)+Tabla3[[#This Row],[Saldo]]</f>
        <v>-126.64382361557239</v>
      </c>
      <c r="J30" s="118">
        <f>SUM('Mar 25'!L27)</f>
        <v>405.21617432388217</v>
      </c>
      <c r="K30" s="108">
        <f>SUM('Pago Cuota MC 2025'!H27)</f>
        <v>0</v>
      </c>
      <c r="L30" s="119">
        <f>SUM(-J30,K30)+Tabla3[[#This Row],[Saldo4]]</f>
        <v>-531.85999793945462</v>
      </c>
      <c r="M30" s="122">
        <f>SUM('Abr 25'!L27)</f>
        <v>440.19534728643703</v>
      </c>
      <c r="N30" s="108">
        <f>SUM('Pago Cuota MC 2025'!I27)</f>
        <v>0</v>
      </c>
      <c r="O30" s="119">
        <f>SUM(-M30,N30)+Tabla3[[#This Row],[Saldo7]]</f>
        <v>-972.05534522589164</v>
      </c>
      <c r="P30" s="122">
        <f>SUM('May 25'!L27)</f>
        <v>439.46410126984131</v>
      </c>
      <c r="Q30" s="108">
        <f>SUM('Pago Cuota MC 2025'!J27)</f>
        <v>1412</v>
      </c>
      <c r="R30" s="119">
        <f>SUM(-P30,Q30)+Tabla3[[#This Row],[Saldo13]]</f>
        <v>0.4805535042670499</v>
      </c>
      <c r="S30" s="122">
        <f>SUM('Jun 25'!L27)</f>
        <v>431.0933790348754</v>
      </c>
      <c r="T30" s="108">
        <f>SUM('Pago Cuota MC 2025'!K27)</f>
        <v>430.61</v>
      </c>
      <c r="U30" s="119">
        <f>SUM(-S30,T30)+Tabla3[[#This Row],[Saldo132]]</f>
        <v>-2.8255306083337928E-3</v>
      </c>
      <c r="V30" s="122">
        <f>SUM('Jul 25'!L27)</f>
        <v>428.89735063719525</v>
      </c>
      <c r="W30" s="108">
        <f>SUM('Pago Cuota MC 2025'!L27)</f>
        <v>429</v>
      </c>
      <c r="X30" s="119">
        <f>SUM(-V30,W30)+Tabla3[[#This Row],[Saldo16]]</f>
        <v>9.9823832196420881E-2</v>
      </c>
      <c r="Y30" s="122">
        <f>SUM('Ago 25'!L27)</f>
        <v>436.6011821797432</v>
      </c>
      <c r="Z30" s="108">
        <f>SUM('Pago Cuota MC 2025'!M27)</f>
        <v>0</v>
      </c>
      <c r="AA30" s="119">
        <f>SUM(-Y30,Z30)+Tabla3[[#This Row],[Saldo19]]</f>
        <v>-436.50135834754678</v>
      </c>
      <c r="AB30" s="122">
        <f>SUM('Sep 25'!L27)</f>
        <v>426.6363704731861</v>
      </c>
      <c r="AC30" s="108">
        <f>SUM('Pago Cuota MC 2025'!N27)</f>
        <v>863.14</v>
      </c>
      <c r="AD30" s="119">
        <f>SUM(-AB30,AC30)+Tabla3[[#This Row],[Saldo22]]</f>
        <v>2.2711792670975228E-3</v>
      </c>
      <c r="AE30" s="122">
        <f>SUM('Oct 25'!L27)</f>
        <v>422.56995754498627</v>
      </c>
      <c r="AF30" s="108">
        <f>SUM('Pago Cuota MC 2025'!O27)</f>
        <v>422.57</v>
      </c>
      <c r="AG30" s="145">
        <f>SUM(-AE30,AF30)+Tabla3[[#This Row],[Saldo25]]</f>
        <v>2.3136342808243171E-3</v>
      </c>
      <c r="AH30" s="122">
        <f>SUM('Nov 25'!L27)</f>
        <v>448.59524769273901</v>
      </c>
      <c r="AI30" s="108">
        <f>SUM('Pago Cuota MC 2025'!P27)</f>
        <v>0</v>
      </c>
      <c r="AJ30" s="119">
        <f>SUM(-AH30,AI30)+Tabla3[[#This Row],[Saldo28]]</f>
        <v>-448.59293405845818</v>
      </c>
      <c r="AK30" s="122">
        <f>SUM('Dic 25'!L27)</f>
        <v>433.14096348093881</v>
      </c>
      <c r="AL30" s="108">
        <f>SUM('Pago Cuota MC 2025'!Q27)</f>
        <v>0</v>
      </c>
      <c r="AM30" s="145">
        <f>SUM(-AK30,AL30)+Tabla3[[#This Row],[Saldo31]]</f>
        <v>-881.73389753939705</v>
      </c>
      <c r="AN30" s="128">
        <f t="shared" si="1"/>
        <v>-881.73389753939705</v>
      </c>
      <c r="AO30" s="29"/>
      <c r="AP30" s="106">
        <f>SUM(Tabla3[[#This Row],[Saldo Anual]])</f>
        <v>-881.73389753939705</v>
      </c>
      <c r="AQ30" t="s">
        <v>12</v>
      </c>
    </row>
    <row r="31" spans="1:43" ht="16.149999999999999" thickBot="1" x14ac:dyDescent="0.5">
      <c r="A31" s="312"/>
      <c r="B31" s="16" t="s">
        <v>4</v>
      </c>
      <c r="C31" s="116">
        <v>202</v>
      </c>
      <c r="D31" s="118">
        <f>SUM('Ene 25'!L28)-('Pago Cuota MC 2024'!F28)</f>
        <v>328.34807859483078</v>
      </c>
      <c r="E31" s="108">
        <f>SUM('Pago Cuota MC 2025'!F28)</f>
        <v>0</v>
      </c>
      <c r="F31" s="119">
        <f t="shared" si="0"/>
        <v>-328.34807859483078</v>
      </c>
      <c r="G31" s="118">
        <f>SUM('Feb 25'!L28)</f>
        <v>353.55141738108802</v>
      </c>
      <c r="H31" s="108">
        <f>SUM('Pago Cuota MC 2025'!G28)</f>
        <v>681.9</v>
      </c>
      <c r="I31" s="119">
        <f>SUM(-G31,H31)+Tabla3[[#This Row],[Saldo]]</f>
        <v>5.0402408118088715E-4</v>
      </c>
      <c r="J31" s="118">
        <f>SUM('Mar 25'!L28)</f>
        <v>362.9398136368593</v>
      </c>
      <c r="K31" s="108">
        <f>SUM('Pago Cuota MC 2025'!H28)</f>
        <v>0</v>
      </c>
      <c r="L31" s="119">
        <f>SUM(-J31,K31)+Tabla3[[#This Row],[Saldo4]]</f>
        <v>-362.93930961277812</v>
      </c>
      <c r="M31" s="122">
        <f>SUM('Abr 25'!L28)</f>
        <v>351.19438511480831</v>
      </c>
      <c r="N31" s="108">
        <f>SUM('Pago Cuota MC 2025'!I28)</f>
        <v>714.13</v>
      </c>
      <c r="O31" s="119">
        <f>SUM(-M31,N31)+Tabla3[[#This Row],[Saldo7]]</f>
        <v>-3.6947275864349649E-3</v>
      </c>
      <c r="P31" s="122">
        <f>SUM('May 25'!L28)</f>
        <v>420.74691555555557</v>
      </c>
      <c r="Q31" s="108">
        <f>SUM('Pago Cuota MC 2025'!J28)</f>
        <v>0</v>
      </c>
      <c r="R31" s="119">
        <f>SUM(-P31,Q31)+Tabla3[[#This Row],[Saldo13]]</f>
        <v>-420.75061028314201</v>
      </c>
      <c r="S31" s="122">
        <f>SUM('Jun 25'!L28)</f>
        <v>368.0784702398243</v>
      </c>
      <c r="T31" s="108">
        <f>SUM('Pago Cuota MC 2025'!K28)</f>
        <v>788.83</v>
      </c>
      <c r="U31" s="119">
        <f>SUM(-S31,T31)+Tabla3[[#This Row],[Saldo132]]</f>
        <v>9.1947703373307377E-4</v>
      </c>
      <c r="V31" s="122">
        <f>SUM('Jul 25'!L28)</f>
        <v>363.68665493615561</v>
      </c>
      <c r="W31" s="108">
        <f>SUM('Pago Cuota MC 2025'!L28)</f>
        <v>0</v>
      </c>
      <c r="X31" s="119">
        <f>SUM(-V31,W31)+Tabla3[[#This Row],[Saldo16]]</f>
        <v>-363.68573545912187</v>
      </c>
      <c r="Y31" s="122">
        <f>SUM('Ago 25'!L28)</f>
        <v>372.38420654493581</v>
      </c>
      <c r="Z31" s="108">
        <f>SUM('Pago Cuota MC 2025'!M28)</f>
        <v>736.07</v>
      </c>
      <c r="AA31" s="119">
        <f>SUM(-Y31,Z31)+Tabla3[[#This Row],[Saldo19]]</f>
        <v>5.7995942370325793E-5</v>
      </c>
      <c r="AB31" s="122">
        <f>SUM('Sep 25'!L28)</f>
        <v>354.56650548895897</v>
      </c>
      <c r="AC31" s="108">
        <f>SUM('Pago Cuota MC 2025'!N28)</f>
        <v>0</v>
      </c>
      <c r="AD31" s="119">
        <f>SUM(-AB31,AC31)+Tabla3[[#This Row],[Saldo22]]</f>
        <v>-354.5664474930166</v>
      </c>
      <c r="AE31" s="122">
        <f>SUM('Oct 25'!L28)</f>
        <v>350.82269758110908</v>
      </c>
      <c r="AF31" s="108">
        <f>SUM('Pago Cuota MC 2025'!O28)</f>
        <v>705.39</v>
      </c>
      <c r="AG31" s="145">
        <f>SUM(-AE31,AF31)+Tabla3[[#This Row],[Saldo25]]</f>
        <v>8.5492587430735512E-4</v>
      </c>
      <c r="AH31" s="122">
        <f>SUM('Nov 25'!L28)</f>
        <v>360.93372397532937</v>
      </c>
      <c r="AI31" s="108">
        <f>SUM('Pago Cuota MC 2025'!P28)</f>
        <v>0</v>
      </c>
      <c r="AJ31" s="119">
        <f>SUM(-AH31,AI31)+Tabla3[[#This Row],[Saldo28]]</f>
        <v>-360.93286904945506</v>
      </c>
      <c r="AK31" s="122">
        <f>SUM('Dic 25'!L28)</f>
        <v>360.19644821967256</v>
      </c>
      <c r="AL31" s="108">
        <f>SUM('Pago Cuota MC 2025'!Q28)</f>
        <v>0</v>
      </c>
      <c r="AM31" s="145">
        <f>SUM(-AK31,AL31)+Tabla3[[#This Row],[Saldo31]]</f>
        <v>-721.12931726912757</v>
      </c>
      <c r="AN31" s="128">
        <f t="shared" si="1"/>
        <v>-721.12931726912757</v>
      </c>
      <c r="AO31" s="29"/>
      <c r="AP31" s="106">
        <f>SUM(Tabla3[[#This Row],[Saldo Anual]])</f>
        <v>-721.12931726912757</v>
      </c>
      <c r="AQ31" t="s">
        <v>12</v>
      </c>
    </row>
    <row r="32" spans="1:43" ht="16.149999999999999" thickBot="1" x14ac:dyDescent="0.5">
      <c r="A32" s="312"/>
      <c r="B32" s="16" t="s">
        <v>4</v>
      </c>
      <c r="C32" s="116">
        <v>203</v>
      </c>
      <c r="D32" s="118">
        <f>SUM('Ene 25'!L29)-('Pago Cuota MC 2024'!F29)</f>
        <v>331.18741183438107</v>
      </c>
      <c r="E32" s="108">
        <f>SUM('Pago Cuota MC 2025'!F29)</f>
        <v>354.56</v>
      </c>
      <c r="F32" s="119">
        <f t="shared" si="0"/>
        <v>23.372588165618936</v>
      </c>
      <c r="G32" s="118">
        <f>SUM('Feb 25'!L29)</f>
        <v>382.63715392338366</v>
      </c>
      <c r="H32" s="108">
        <f>SUM('Pago Cuota MC 2025'!G29)</f>
        <v>308.92</v>
      </c>
      <c r="I32" s="119">
        <f>SUM(-G32,H32)+Tabla3[[#This Row],[Saldo]]</f>
        <v>-50.344565757764713</v>
      </c>
      <c r="J32" s="118">
        <f>SUM('Mar 25'!L29)</f>
        <v>389.18542492366407</v>
      </c>
      <c r="K32" s="108">
        <f>SUM('Pago Cuota MC 2025'!H29)</f>
        <v>310</v>
      </c>
      <c r="L32" s="119">
        <f>SUM(-J32,K32)+Tabla3[[#This Row],[Saldo4]]</f>
        <v>-129.52999068142879</v>
      </c>
      <c r="M32" s="122">
        <f>SUM('Abr 25'!L29)</f>
        <v>376.36592052052924</v>
      </c>
      <c r="N32" s="108">
        <f>SUM('Pago Cuota MC 2025'!I29)</f>
        <v>600</v>
      </c>
      <c r="O32" s="119">
        <f>SUM(-M32,N32)+Tabla3[[#This Row],[Saldo7]]</f>
        <v>94.104088798041971</v>
      </c>
      <c r="P32" s="122">
        <f>SUM('May 25'!L29)</f>
        <v>383.81051674603174</v>
      </c>
      <c r="Q32" s="108">
        <f>SUM('Pago Cuota MC 2025'!J29)</f>
        <v>500</v>
      </c>
      <c r="R32" s="119">
        <f>SUM(-P32,Q32)+Tabla3[[#This Row],[Saldo13]]</f>
        <v>210.29357205201023</v>
      </c>
      <c r="S32" s="122">
        <f>SUM('Jun 25'!L29)</f>
        <v>384.71787346736596</v>
      </c>
      <c r="T32" s="108">
        <f>SUM('Pago Cuota MC 2025'!K29)</f>
        <v>144.43</v>
      </c>
      <c r="U32" s="119">
        <f>SUM(-S32,T32)+Tabla3[[#This Row],[Saldo132]]</f>
        <v>-29.994301415355721</v>
      </c>
      <c r="V32" s="122">
        <f>SUM('Jul 25'!L29)</f>
        <v>366.20727275014832</v>
      </c>
      <c r="W32" s="108">
        <f>SUM('Pago Cuota MC 2025'!L29)</f>
        <v>366.21</v>
      </c>
      <c r="X32" s="119">
        <f>SUM(-V32,W32)+Tabla3[[#This Row],[Saldo16]]</f>
        <v>-29.991574165504062</v>
      </c>
      <c r="Y32" s="122">
        <f>SUM('Ago 25'!L29)</f>
        <v>376.4977216376605</v>
      </c>
      <c r="Z32" s="108">
        <f>SUM('Pago Cuota MC 2025'!M29)</f>
        <v>406.49</v>
      </c>
      <c r="AA32" s="119">
        <f>SUM(-Y32,Z32)+Tabla3[[#This Row],[Saldo19]]</f>
        <v>7.0419683544287182E-4</v>
      </c>
      <c r="AB32" s="122">
        <f>SUM('Sep 25'!L29)</f>
        <v>378.41372315457409</v>
      </c>
      <c r="AC32" s="108">
        <f>SUM('Pago Cuota MC 2025'!N29)</f>
        <v>0</v>
      </c>
      <c r="AD32" s="119">
        <f>SUM(-AB32,AC32)+Tabla3[[#This Row],[Saldo22]]</f>
        <v>-378.41301895773864</v>
      </c>
      <c r="AE32" s="122">
        <f>SUM('Oct 25'!L29)</f>
        <v>374.56316838183153</v>
      </c>
      <c r="AF32" s="108">
        <f>SUM('Pago Cuota MC 2025'!O29)</f>
        <v>600</v>
      </c>
      <c r="AG32" s="145">
        <f>SUM(-AE32,AF32)+Tabla3[[#This Row],[Saldo25]]</f>
        <v>-152.97618733957017</v>
      </c>
      <c r="AH32" s="122">
        <f>SUM('Nov 25'!L29)</f>
        <v>399.08194853378188</v>
      </c>
      <c r="AI32" s="108">
        <f>SUM('Pago Cuota MC 2025'!P29)</f>
        <v>552.05999999999995</v>
      </c>
      <c r="AJ32" s="119">
        <f>SUM(-AH32,AI32)+Tabla3[[#This Row],[Saldo28]]</f>
        <v>1.8641266478880425E-3</v>
      </c>
      <c r="AK32" s="122">
        <f>SUM('Dic 25'!L29)</f>
        <v>362.76693763078674</v>
      </c>
      <c r="AL32" s="108">
        <f>SUM('Pago Cuota MC 2025'!Q29)</f>
        <v>0</v>
      </c>
      <c r="AM32" s="145">
        <f>SUM(-AK32,AL32)+Tabla3[[#This Row],[Saldo31]]</f>
        <v>-362.76507350413885</v>
      </c>
      <c r="AN32" s="128">
        <f t="shared" si="1"/>
        <v>-362.76507350413885</v>
      </c>
      <c r="AO32" s="29"/>
      <c r="AP32" s="106">
        <f>SUM(Tabla3[[#This Row],[Saldo Anual]])</f>
        <v>-362.76507350413885</v>
      </c>
    </row>
    <row r="33" spans="1:44" ht="16.149999999999999" thickBot="1" x14ac:dyDescent="0.5">
      <c r="A33" s="312"/>
      <c r="B33" s="16" t="s">
        <v>4</v>
      </c>
      <c r="C33" s="116">
        <v>204</v>
      </c>
      <c r="D33" s="118">
        <f>SUM('Ene 25'!L30)-('Pago Cuota MC 2024'!F30)</f>
        <v>333.81944277630851</v>
      </c>
      <c r="E33" s="108">
        <f>SUM('Pago Cuota MC 2025'!F30)</f>
        <v>333.82</v>
      </c>
      <c r="F33" s="119">
        <f t="shared" si="0"/>
        <v>5.5722369148725193E-4</v>
      </c>
      <c r="G33" s="118">
        <f>SUM('Feb 25'!L30)</f>
        <v>384.02144415408719</v>
      </c>
      <c r="H33" s="108">
        <f>SUM('Pago Cuota MC 2025'!G30)</f>
        <v>384.02</v>
      </c>
      <c r="I33" s="119">
        <f>SUM(-G33,H33)+Tabla3[[#This Row],[Saldo]]</f>
        <v>-8.8693039572262933E-4</v>
      </c>
      <c r="J33" s="118">
        <f>SUM('Mar 25'!L30)</f>
        <v>376.4627407360959</v>
      </c>
      <c r="K33" s="108">
        <f>SUM('Pago Cuota MC 2025'!H30)</f>
        <v>376.46</v>
      </c>
      <c r="L33" s="119">
        <f>SUM(-J33,K33)+Tabla3[[#This Row],[Saldo4]]</f>
        <v>-3.6276664916385926E-3</v>
      </c>
      <c r="M33" s="122">
        <f>SUM('Abr 25'!L30)</f>
        <v>381.94409048550301</v>
      </c>
      <c r="N33" s="108">
        <f>SUM('Pago Cuota MC 2025'!I30)</f>
        <v>381.95</v>
      </c>
      <c r="O33" s="119">
        <f>SUM(-M33,N33)+Tabla3[[#This Row],[Saldo7]]</f>
        <v>2.2818480053388157E-3</v>
      </c>
      <c r="P33" s="122">
        <f>SUM('May 25'!L30)</f>
        <v>400.47819531746029</v>
      </c>
      <c r="Q33" s="108">
        <f>SUM('Pago Cuota MC 2025'!J30)</f>
        <v>400.4</v>
      </c>
      <c r="R33" s="119">
        <f>SUM(-P33,Q33)+Tabla3[[#This Row],[Saldo13]]</f>
        <v>-7.5913469454974347E-2</v>
      </c>
      <c r="S33" s="122">
        <f>SUM('Jun 25'!L30)</f>
        <v>383.23896913708086</v>
      </c>
      <c r="T33" s="108">
        <f>SUM('Pago Cuota MC 2025'!K30)</f>
        <v>383.31</v>
      </c>
      <c r="U33" s="119">
        <f>SUM(-S33,T33)+Tabla3[[#This Row],[Saldo132]]</f>
        <v>-4.8826065358298365E-3</v>
      </c>
      <c r="V33" s="122">
        <f>SUM('Jul 25'!L30)</f>
        <v>379.03772703505979</v>
      </c>
      <c r="W33" s="108">
        <f>SUM('Pago Cuota MC 2025'!L30)</f>
        <v>379.04</v>
      </c>
      <c r="X33" s="119">
        <f>SUM(-V33,W33)+Tabla3[[#This Row],[Saldo16]]</f>
        <v>-2.6096415955976227E-3</v>
      </c>
      <c r="Y33" s="122">
        <f>SUM('Ago 25'!L30)</f>
        <v>379.28568386305278</v>
      </c>
      <c r="Z33" s="108">
        <f>SUM('Pago Cuota MC 2025'!M30)</f>
        <v>379.29</v>
      </c>
      <c r="AA33" s="119">
        <f>SUM(-Y33,Z33)+Tabla3[[#This Row],[Saldo19]]</f>
        <v>1.7064953516410242E-3</v>
      </c>
      <c r="AB33" s="122">
        <f>SUM('Sep 25'!L30)</f>
        <v>376.60382031545737</v>
      </c>
      <c r="AC33" s="108">
        <f>SUM('Pago Cuota MC 2025'!N30)</f>
        <v>376.6</v>
      </c>
      <c r="AD33" s="119">
        <f>SUM(-AB33,AC33)+Tabla3[[#This Row],[Saldo22]]</f>
        <v>-2.1138201057055994E-3</v>
      </c>
      <c r="AE33" s="122">
        <f>SUM('Oct 25'!L30)</f>
        <v>372.76136717773761</v>
      </c>
      <c r="AF33" s="108">
        <f>SUM('Pago Cuota MC 2025'!O30)</f>
        <v>372.76</v>
      </c>
      <c r="AG33" s="145">
        <f>SUM(-AE33,AF33)+Tabla3[[#This Row],[Saldo25]]</f>
        <v>-3.4809978433258948E-3</v>
      </c>
      <c r="AH33" s="122">
        <f>SUM('Nov 25'!L30)</f>
        <v>380.41273936641437</v>
      </c>
      <c r="AI33" s="108">
        <f>SUM('Pago Cuota MC 2025'!P30)</f>
        <v>380.42</v>
      </c>
      <c r="AJ33" s="119">
        <f>SUM(-AH33,AI33)+Tabla3[[#This Row],[Saldo28]]</f>
        <v>3.7796357423189875E-3</v>
      </c>
      <c r="AK33" s="122">
        <f>SUM('Dic 25'!L30)</f>
        <v>375.89058311046608</v>
      </c>
      <c r="AL33" s="108">
        <f>SUM('Pago Cuota MC 2025'!Q30)</f>
        <v>0</v>
      </c>
      <c r="AM33" s="145">
        <f>SUM(-AK33,AL33)+Tabla3[[#This Row],[Saldo31]]</f>
        <v>-375.88680347472376</v>
      </c>
      <c r="AN33" s="128">
        <f t="shared" si="1"/>
        <v>-375.88680347472376</v>
      </c>
      <c r="AO33" s="29"/>
      <c r="AP33" s="106">
        <f>SUM(Tabla3[[#This Row],[Saldo Anual]])</f>
        <v>-375.88680347472376</v>
      </c>
      <c r="AQ33" t="s">
        <v>12</v>
      </c>
      <c r="AR33" t="s">
        <v>12</v>
      </c>
    </row>
    <row r="34" spans="1:44" ht="16.149999999999999" thickBot="1" x14ac:dyDescent="0.5">
      <c r="A34" s="312"/>
      <c r="B34" s="16" t="s">
        <v>4</v>
      </c>
      <c r="C34" s="116">
        <v>301</v>
      </c>
      <c r="D34" s="118">
        <f>SUM('Ene 25'!L31)-('Pago Cuota MC 2024'!F31)</f>
        <v>1.2224639101532375E-3</v>
      </c>
      <c r="E34" s="108">
        <f>SUM('Pago Cuota MC 2025'!F31)</f>
        <v>0</v>
      </c>
      <c r="F34" s="119">
        <f t="shared" si="0"/>
        <v>-1.2224639101532375E-3</v>
      </c>
      <c r="G34" s="118">
        <f>SUM('Feb 25'!L31)</f>
        <v>391.65850296923958</v>
      </c>
      <c r="H34" s="108">
        <f>SUM('Pago Cuota MC 2025'!G31)</f>
        <v>391.66</v>
      </c>
      <c r="I34" s="119">
        <f>SUM(-G34,H34)+Tabla3[[#This Row],[Saldo]]</f>
        <v>2.7456685029392247E-4</v>
      </c>
      <c r="J34" s="118">
        <f>SUM('Mar 25'!L31)</f>
        <v>370.59637928571425</v>
      </c>
      <c r="K34" s="108">
        <f>SUM('Pago Cuota MC 2025'!H31)</f>
        <v>0</v>
      </c>
      <c r="L34" s="119">
        <f>SUM(-J34,K34)+Tabla3[[#This Row],[Saldo4]]</f>
        <v>-370.59610471886396</v>
      </c>
      <c r="M34" s="122">
        <f>SUM('Abr 25'!L31)</f>
        <v>371.00155449601084</v>
      </c>
      <c r="N34" s="108">
        <f>SUM('Pago Cuota MC 2025'!I31)</f>
        <v>0</v>
      </c>
      <c r="O34" s="119">
        <f>SUM(-M34,N34)+Tabla3[[#This Row],[Saldo7]]</f>
        <v>-741.59765921487474</v>
      </c>
      <c r="P34" s="122">
        <f>SUM('May 25'!L31)</f>
        <v>375.291481031746</v>
      </c>
      <c r="Q34" s="108">
        <f>SUM('Pago Cuota MC 2025'!J31)</f>
        <v>1116.8900000000001</v>
      </c>
      <c r="R34" s="119">
        <f>SUM(-P34,Q34)+Tabla3[[#This Row],[Saldo13]]</f>
        <v>8.5975337935906282E-4</v>
      </c>
      <c r="S34" s="122">
        <f>SUM('Jun 25'!L31)</f>
        <v>374.29399748565538</v>
      </c>
      <c r="T34" s="108">
        <f>SUM('Pago Cuota MC 2025'!K31)</f>
        <v>0</v>
      </c>
      <c r="U34" s="119">
        <f>SUM(-S34,T34)+Tabla3[[#This Row],[Saldo132]]</f>
        <v>-374.29313773227602</v>
      </c>
      <c r="V34" s="122">
        <f>SUM('Jul 25'!L31)</f>
        <v>360.87595046860855</v>
      </c>
      <c r="W34" s="108">
        <f>SUM('Pago Cuota MC 2025'!L31)</f>
        <v>0</v>
      </c>
      <c r="X34" s="119">
        <f>SUM(-V34,W34)+Tabla3[[#This Row],[Saldo16]]</f>
        <v>-735.16908820088452</v>
      </c>
      <c r="Y34" s="122">
        <f>SUM('Ago 25'!L31)</f>
        <v>374.68896158059914</v>
      </c>
      <c r="Z34" s="108">
        <f>SUM('Pago Cuota MC 2025'!M31)</f>
        <v>1000</v>
      </c>
      <c r="AA34" s="119">
        <f>SUM(-Y34,Z34)+Tabla3[[#This Row],[Saldo19]]</f>
        <v>-109.85804978148371</v>
      </c>
      <c r="AB34" s="122">
        <f>SUM('Sep 25'!L31)</f>
        <v>372.35763230283908</v>
      </c>
      <c r="AC34" s="108">
        <f>SUM('Pago Cuota MC 2025'!N31)</f>
        <v>0</v>
      </c>
      <c r="AD34" s="119">
        <f>SUM(-AB34,AC34)+Tabla3[[#This Row],[Saldo22]]</f>
        <v>-482.21568208432279</v>
      </c>
      <c r="AE34" s="122">
        <f>SUM('Oct 25'!L31)</f>
        <v>358.57894911632883</v>
      </c>
      <c r="AF34" s="108">
        <f>SUM('Pago Cuota MC 2025'!O31)</f>
        <v>0</v>
      </c>
      <c r="AG34" s="145">
        <f>SUM(-AE34,AF34)+Tabla3[[#This Row],[Saldo25]]</f>
        <v>-840.79463120065157</v>
      </c>
      <c r="AH34" s="122">
        <f>SUM('Nov 25'!L31)</f>
        <v>371.33862708718812</v>
      </c>
      <c r="AI34" s="108">
        <f>SUM('Pago Cuota MC 2025'!P31)</f>
        <v>0</v>
      </c>
      <c r="AJ34" s="119">
        <f>SUM(-AH34,AI34)+Tabla3[[#This Row],[Saldo28]]</f>
        <v>-1212.1332582878397</v>
      </c>
      <c r="AK34" s="122">
        <f>SUM('Dic 25'!L31)</f>
        <v>490.29411556830405</v>
      </c>
      <c r="AL34" s="108">
        <f>SUM('Pago Cuota MC 2025'!Q31)</f>
        <v>0</v>
      </c>
      <c r="AM34" s="145">
        <f>SUM(-AK34,AL34)+Tabla3[[#This Row],[Saldo31]]</f>
        <v>-1702.4273738561437</v>
      </c>
      <c r="AN34" s="128">
        <f t="shared" si="1"/>
        <v>-1702.4273738561437</v>
      </c>
      <c r="AO34" s="29"/>
      <c r="AP34" s="106">
        <f>SUM(Tabla3[[#This Row],[Saldo Anual]])</f>
        <v>-1702.4273738561437</v>
      </c>
    </row>
    <row r="35" spans="1:44" ht="16.149999999999999" thickBot="1" x14ac:dyDescent="0.5">
      <c r="A35" s="312"/>
      <c r="B35" s="16" t="s">
        <v>4</v>
      </c>
      <c r="C35" s="116">
        <v>302</v>
      </c>
      <c r="D35" s="118">
        <f>SUM('Ene 25'!L32)-('Pago Cuota MC 2024'!F32)</f>
        <v>334.32290426813051</v>
      </c>
      <c r="E35" s="108">
        <f>SUM('Pago Cuota MC 2025'!F32)</f>
        <v>334.32</v>
      </c>
      <c r="F35" s="119">
        <f t="shared" si="0"/>
        <v>-2.9042681305213591E-3</v>
      </c>
      <c r="G35" s="118">
        <f>SUM('Feb 25'!L32)</f>
        <v>378.76192336228996</v>
      </c>
      <c r="H35" s="108">
        <f>SUM('Pago Cuota MC 2025'!G32)</f>
        <v>378.76</v>
      </c>
      <c r="I35" s="119">
        <f>SUM(-G35,H35)+Tabla3[[#This Row],[Saldo]]</f>
        <v>-4.8276304204932785E-3</v>
      </c>
      <c r="J35" s="118">
        <f>SUM('Mar 25'!L32)</f>
        <v>366.93728059432931</v>
      </c>
      <c r="K35" s="108">
        <f>SUM('Pago Cuota MC 2025'!H32)</f>
        <v>366.94</v>
      </c>
      <c r="L35" s="119">
        <f>SUM(-J35,K35)+Tabla3[[#This Row],[Saldo4]]</f>
        <v>-2.1082247498043216E-3</v>
      </c>
      <c r="M35" s="122">
        <f>SUM('Abr 25'!L32)</f>
        <v>378.78047361451644</v>
      </c>
      <c r="N35" s="108">
        <f>SUM('Pago Cuota MC 2025'!I32)</f>
        <v>378.78</v>
      </c>
      <c r="O35" s="119">
        <f>SUM(-M35,N35)+Tabla3[[#This Row],[Saldo7]]</f>
        <v>-2.5818392662699807E-3</v>
      </c>
      <c r="P35" s="122">
        <f>SUM('May 25'!L32)</f>
        <v>390.77801793650792</v>
      </c>
      <c r="Q35" s="108">
        <f>SUM('Pago Cuota MC 2025'!J32)</f>
        <v>390.78</v>
      </c>
      <c r="R35" s="119">
        <f>SUM(-P35,Q35)+Tabla3[[#This Row],[Saldo13]]</f>
        <v>-5.9977577421932438E-4</v>
      </c>
      <c r="S35" s="122">
        <f>SUM('Jun 25'!L32)</f>
        <v>381.69796206338538</v>
      </c>
      <c r="T35" s="108">
        <f>SUM('Pago Cuota MC 2025'!K32)</f>
        <v>381.7</v>
      </c>
      <c r="U35" s="119">
        <f>SUM(-S35,T35)+Tabla3[[#This Row],[Saldo132]]</f>
        <v>1.4381608403937207E-3</v>
      </c>
      <c r="V35" s="122">
        <f>SUM('Jul 25'!L32)</f>
        <v>371.7855606962006</v>
      </c>
      <c r="W35" s="108">
        <f>SUM('Pago Cuota MC 2025'!L32)</f>
        <v>371.78</v>
      </c>
      <c r="X35" s="119">
        <f>SUM(-V35,W35)+Tabla3[[#This Row],[Saldo16]]</f>
        <v>-4.1225353602385439E-3</v>
      </c>
      <c r="Y35" s="122">
        <f>SUM('Ago 25'!L32)</f>
        <v>373.05675844222537</v>
      </c>
      <c r="Z35" s="108">
        <f>SUM('Pago Cuota MC 2025'!M32)</f>
        <v>373.06</v>
      </c>
      <c r="AA35" s="119">
        <f>SUM(-Y35,Z35)+Tabla3[[#This Row],[Saldo19]]</f>
        <v>-8.8097758560934381E-4</v>
      </c>
      <c r="AB35" s="122">
        <f>SUM('Sep 25'!L32)</f>
        <v>373.37240580441642</v>
      </c>
      <c r="AC35" s="108">
        <f>SUM('Pago Cuota MC 2025'!N32)</f>
        <v>373.37</v>
      </c>
      <c r="AD35" s="119">
        <f>SUM(-AB35,AC35)+Tabla3[[#This Row],[Saldo22]]</f>
        <v>-3.2867820020214822E-3</v>
      </c>
      <c r="AE35" s="122">
        <f>SUM('Oct 25'!L32)</f>
        <v>369.54441738845406</v>
      </c>
      <c r="AF35" s="108">
        <f>SUM('Pago Cuota MC 2025'!O32)</f>
        <v>369.55</v>
      </c>
      <c r="AG35" s="145">
        <f>SUM(-AE35,AF35)+Tabla3[[#This Row],[Saldo25]]</f>
        <v>2.2958295439252652E-3</v>
      </c>
      <c r="AH35" s="122">
        <f>SUM('Nov 25'!L32)</f>
        <v>365.92752902158674</v>
      </c>
      <c r="AI35" s="108">
        <f>SUM('Pago Cuota MC 2025'!P32)</f>
        <v>365.93</v>
      </c>
      <c r="AJ35" s="119">
        <f>SUM(-AH35,AI35)+Tabla3[[#This Row],[Saldo28]]</f>
        <v>4.7668079571963062E-3</v>
      </c>
      <c r="AK35" s="122">
        <f>SUM('Dic 25'!L32)</f>
        <v>372.98600868414587</v>
      </c>
      <c r="AL35" s="108">
        <f>SUM('Pago Cuota MC 2025'!Q32)</f>
        <v>372.98</v>
      </c>
      <c r="AM35" s="145">
        <f>SUM(-AK35,AL35)+Tabla3[[#This Row],[Saldo31]]</f>
        <v>-1.2418761886578977E-3</v>
      </c>
      <c r="AN35" s="128">
        <f t="shared" si="1"/>
        <v>-1.2418761886578977E-3</v>
      </c>
      <c r="AO35" s="29"/>
      <c r="AP35" s="106" t="s">
        <v>12</v>
      </c>
    </row>
    <row r="36" spans="1:44" ht="16.149999999999999" thickBot="1" x14ac:dyDescent="0.5">
      <c r="A36" s="312"/>
      <c r="B36" s="16" t="s">
        <v>4</v>
      </c>
      <c r="C36" s="116">
        <v>303</v>
      </c>
      <c r="D36" s="118">
        <f>SUM('Ene 25'!L33)-('Pago Cuota MC 2024'!F33)</f>
        <v>320.22194403462515</v>
      </c>
      <c r="E36" s="108">
        <f>SUM('Pago Cuota MC 2025'!F33)</f>
        <v>320.22000000000003</v>
      </c>
      <c r="F36" s="119">
        <f>SUM(-D36,E36)</f>
        <v>-1.9440346251258234E-3</v>
      </c>
      <c r="G36" s="118">
        <f>SUM('Feb 25'!L33)</f>
        <v>374.71854455283398</v>
      </c>
      <c r="H36" s="108">
        <f>SUM('Pago Cuota MC 2025'!G33)</f>
        <v>500</v>
      </c>
      <c r="I36" s="119">
        <f>SUM(-G36,H36)+Tabla3[[#This Row],[Saldo]]</f>
        <v>125.2795114125409</v>
      </c>
      <c r="J36" s="118">
        <f>SUM('Mar 25'!L33)</f>
        <v>373.06332001635764</v>
      </c>
      <c r="K36" s="108">
        <f>SUM('Pago Cuota MC 2025'!H33)</f>
        <v>247.78</v>
      </c>
      <c r="L36" s="119">
        <f>SUM(-J36,K36)+Tabla3[[#This Row],[Saldo4]]</f>
        <v>-3.8086038167364222E-3</v>
      </c>
      <c r="M36" s="122">
        <f>SUM('Abr 25'!L33)</f>
        <v>365.36559950476743</v>
      </c>
      <c r="N36" s="108">
        <f>SUM('Pago Cuota MC 2025'!I33)</f>
        <v>365.37</v>
      </c>
      <c r="O36" s="119">
        <f>SUM(-M36,N36)+Tabla3[[#This Row],[Saldo7]]</f>
        <v>5.9189141583715354E-4</v>
      </c>
      <c r="P36" s="122">
        <f>SUM('May 25'!L33)</f>
        <v>379.22587626984125</v>
      </c>
      <c r="Q36" s="108">
        <f>SUM('Pago Cuota MC 2025'!J33)</f>
        <v>379.23</v>
      </c>
      <c r="R36" s="119">
        <f>SUM(-P36,Q36)+Tabla3[[#This Row],[Saldo13]]</f>
        <v>4.7156215746042562E-3</v>
      </c>
      <c r="S36" s="122">
        <f>SUM('Jun 25'!L33)</f>
        <v>373.640356953111</v>
      </c>
      <c r="T36" s="108">
        <f>SUM('Pago Cuota MC 2025'!K33)</f>
        <v>373.64</v>
      </c>
      <c r="U36" s="119">
        <f>SUM(-S36,T36)+Tabla3[[#This Row],[Saldo132]]</f>
        <v>4.3586684635954498E-3</v>
      </c>
      <c r="V36" s="122">
        <f>SUM('Jul 25'!L33)</f>
        <v>370.85257929693114</v>
      </c>
      <c r="W36" s="108">
        <f>SUM('Pago Cuota MC 2025'!L33)</f>
        <v>500</v>
      </c>
      <c r="X36" s="119">
        <f>SUM(-V36,W36)+Tabla3[[#This Row],[Saldo16]]</f>
        <v>129.15177937153246</v>
      </c>
      <c r="Y36" s="122">
        <f>SUM('Ago 25'!L33)</f>
        <v>370.46430548930101</v>
      </c>
      <c r="Z36" s="108">
        <f>SUM('Pago Cuota MC 2025'!M33)</f>
        <v>241.31</v>
      </c>
      <c r="AA36" s="119">
        <f>SUM(-Y36,Z36)+Tabla3[[#This Row],[Saldo19]]</f>
        <v>-2.526117768553604E-3</v>
      </c>
      <c r="AB36" s="122">
        <f>SUM('Sep 25'!L33)</f>
        <v>374.97257741324916</v>
      </c>
      <c r="AC36" s="108">
        <f>SUM('Pago Cuota MC 2025'!N33)</f>
        <v>374.98</v>
      </c>
      <c r="AD36" s="119">
        <f>SUM(-AB36,AC36)+Tabla3[[#This Row],[Saldo22]]</f>
        <v>4.8964689823094432E-3</v>
      </c>
      <c r="AE36" s="122">
        <f>SUM('Oct 25'!L33)</f>
        <v>371.13742617833964</v>
      </c>
      <c r="AF36" s="108">
        <f>SUM('Pago Cuota MC 2025'!O33)</f>
        <v>371.17</v>
      </c>
      <c r="AG36" s="145">
        <f>SUM(-AE36,AF36)+Tabla3[[#This Row],[Saldo25]]</f>
        <v>3.7470290642687587E-2</v>
      </c>
      <c r="AH36" s="122">
        <f>SUM('Nov 25'!L33)</f>
        <v>378.154015144379</v>
      </c>
      <c r="AI36" s="108">
        <f>SUM('Pago Cuota MC 2025'!P33)</f>
        <v>378.15</v>
      </c>
      <c r="AJ36" s="119">
        <f>SUM(-AH36,AI36)+Tabla3[[#This Row],[Saldo28]]</f>
        <v>3.3455146263662527E-2</v>
      </c>
      <c r="AK36" s="122">
        <f>SUM('Dic 25'!L33)</f>
        <v>375.0101708350997</v>
      </c>
      <c r="AL36" s="108">
        <f>SUM('Pago Cuota MC 2025'!Q33)</f>
        <v>374.98</v>
      </c>
      <c r="AM36" s="145">
        <f>SUM(-AK36,AL36)+Tabla3[[#This Row],[Saldo31]]</f>
        <v>3.2843111639806466E-3</v>
      </c>
      <c r="AN36" s="128">
        <f t="shared" si="1"/>
        <v>3.2843111639806466E-3</v>
      </c>
      <c r="AO36" s="29"/>
      <c r="AP36" s="106" t="s">
        <v>12</v>
      </c>
    </row>
    <row r="37" spans="1:44" ht="16.149999999999999" thickBot="1" x14ac:dyDescent="0.5">
      <c r="A37" s="312"/>
      <c r="B37" s="16" t="s">
        <v>4</v>
      </c>
      <c r="C37" s="116">
        <v>304</v>
      </c>
      <c r="D37" s="118">
        <f>SUM('Ene 25'!L34)-('Pago Cuota MC 2024'!F34)</f>
        <v>353.36870177836249</v>
      </c>
      <c r="E37" s="108">
        <f>SUM('Pago Cuota MC 2025'!F34)</f>
        <v>353.37</v>
      </c>
      <c r="F37" s="119">
        <f t="shared" si="0"/>
        <v>1.2982216375121425E-3</v>
      </c>
      <c r="G37" s="118">
        <f>SUM('Feb 25'!L34)</f>
        <v>449.53278380091149</v>
      </c>
      <c r="H37" s="108">
        <f>SUM('Pago Cuota MC 2025'!G34)</f>
        <v>449.53</v>
      </c>
      <c r="I37" s="119">
        <f>SUM(-G37,H37)+Tabla3[[#This Row],[Saldo]]</f>
        <v>-1.4855792740036122E-3</v>
      </c>
      <c r="J37" s="118">
        <f>SUM('Mar 25'!L34)</f>
        <v>445.51347410577966</v>
      </c>
      <c r="K37" s="108">
        <f>SUM('Pago Cuota MC 2025'!H34)</f>
        <v>445.51</v>
      </c>
      <c r="L37" s="119">
        <f>SUM(-J37,K37)+Tabla3[[#This Row],[Saldo4]]</f>
        <v>-4.9596850536772763E-3</v>
      </c>
      <c r="M37" s="122">
        <f>SUM('Abr 25'!L34)</f>
        <v>431.84628359700332</v>
      </c>
      <c r="N37" s="108">
        <f>SUM('Pago Cuota MC 2025'!I34)</f>
        <v>431.85</v>
      </c>
      <c r="O37" s="119">
        <f>SUM(-M37,N37)+Tabla3[[#This Row],[Saldo7]]</f>
        <v>-1.2432820569756586E-3</v>
      </c>
      <c r="P37" s="122">
        <f>SUM('May 25'!L34)</f>
        <v>448.00371436507936</v>
      </c>
      <c r="Q37" s="108">
        <f>SUM('Pago Cuota MC 2025'!J34)</f>
        <v>448</v>
      </c>
      <c r="R37" s="119">
        <f>SUM(-P37,Q37)+Tabla3[[#This Row],[Saldo13]]</f>
        <v>-4.9576471363366181E-3</v>
      </c>
      <c r="S37" s="122">
        <f>SUM('Jun 25'!L34)</f>
        <v>431.47764043885604</v>
      </c>
      <c r="T37" s="108">
        <f>SUM('Pago Cuota MC 2025'!K34)</f>
        <v>448</v>
      </c>
      <c r="U37" s="119">
        <f>SUM(-S37,T37)+Tabla3[[#This Row],[Saldo132]]</f>
        <v>16.517401914007621</v>
      </c>
      <c r="V37" s="122">
        <f>SUM('Jul 25'!L34)</f>
        <v>426.55313686928287</v>
      </c>
      <c r="W37" s="108">
        <f>SUM('Pago Cuota MC 2025'!L34)</f>
        <v>410.04</v>
      </c>
      <c r="X37" s="119">
        <f>SUM(-V37,W37)+Tabla3[[#This Row],[Saldo16]]</f>
        <v>4.2650447247751799E-3</v>
      </c>
      <c r="Y37" s="122">
        <f>SUM('Ago 25'!L34)</f>
        <v>426.19226851355211</v>
      </c>
      <c r="Z37" s="108">
        <f>SUM('Pago Cuota MC 2025'!M34)</f>
        <v>426.19</v>
      </c>
      <c r="AA37" s="119">
        <f>SUM(-Y37,Z37)+Tabla3[[#This Row],[Saldo19]]</f>
        <v>1.9965311726650725E-3</v>
      </c>
      <c r="AB37" s="122">
        <f>SUM('Sep 25'!L34)</f>
        <v>385.24552378548896</v>
      </c>
      <c r="AC37" s="108">
        <f>SUM('Pago Cuota MC 2025'!N34)</f>
        <v>385.24</v>
      </c>
      <c r="AD37" s="119">
        <f>SUM(-AB37,AC37)+Tabla3[[#This Row],[Saldo22]]</f>
        <v>-3.5272543162818693E-3</v>
      </c>
      <c r="AE37" s="122">
        <f>SUM('Oct 25'!L34)</f>
        <v>381.36438794835772</v>
      </c>
      <c r="AF37" s="108">
        <f>SUM('Pago Cuota MC 2025'!O34)</f>
        <v>381.37</v>
      </c>
      <c r="AG37" s="145">
        <f>SUM(-AE37,AF37)+Tabla3[[#This Row],[Saldo25]]</f>
        <v>2.0847973260060826E-3</v>
      </c>
      <c r="AH37" s="122">
        <f>SUM('Nov 25'!L34)</f>
        <v>416.12757561536301</v>
      </c>
      <c r="AI37" s="108">
        <f>SUM('Pago Cuota MC 2025'!P34)</f>
        <v>416.13</v>
      </c>
      <c r="AJ37" s="119">
        <f>SUM(-AH37,AI37)+Tabla3[[#This Row],[Saldo28]]</f>
        <v>4.5091819629874408E-3</v>
      </c>
      <c r="AK37" s="122">
        <f>SUM('Dic 25'!L34)</f>
        <v>406.80720345882105</v>
      </c>
      <c r="AL37" s="108">
        <f>SUM('Pago Cuota MC 2025'!Q34)</f>
        <v>406.8</v>
      </c>
      <c r="AM37" s="145">
        <f>SUM(-AK37,AL37)+Tabla3[[#This Row],[Saldo31]]</f>
        <v>-2.6942768580511256E-3</v>
      </c>
      <c r="AN37" s="128">
        <f t="shared" si="1"/>
        <v>-2.6942768580511256E-3</v>
      </c>
      <c r="AO37" s="29"/>
      <c r="AP37" s="106" t="s">
        <v>12</v>
      </c>
    </row>
    <row r="38" spans="1:44" ht="16.149999999999999" thickBot="1" x14ac:dyDescent="0.5">
      <c r="A38" s="312"/>
      <c r="B38" s="16" t="s">
        <v>4</v>
      </c>
      <c r="C38" s="116">
        <v>401</v>
      </c>
      <c r="D38" s="118">
        <f>SUM('Ene 25'!L35)-('Pago Cuota MC 2024'!F35)</f>
        <v>98.177591774377561</v>
      </c>
      <c r="E38" s="108">
        <f>SUM('Pago Cuota MC 2025'!F35)</f>
        <v>0</v>
      </c>
      <c r="F38" s="119">
        <f t="shared" ref="F38:F69" si="2">SUM(-D38,E38)</f>
        <v>-98.177591774377561</v>
      </c>
      <c r="G38" s="118">
        <f>SUM('Feb 25'!L35)</f>
        <v>367.90658528197099</v>
      </c>
      <c r="H38" s="108">
        <f>SUM('Pago Cuota MC 2025'!G35)</f>
        <v>800</v>
      </c>
      <c r="I38" s="119">
        <f>SUM(-G38,H38)+Tabla3[[#This Row],[Saldo]]</f>
        <v>333.91582294365145</v>
      </c>
      <c r="J38" s="118">
        <f>SUM('Mar 25'!L35)</f>
        <v>398.03414853326058</v>
      </c>
      <c r="K38" s="108">
        <f>SUM('Pago Cuota MC 2025'!H35)</f>
        <v>500</v>
      </c>
      <c r="L38" s="119">
        <f>SUM(-J38,K38)+Tabla3[[#This Row],[Saldo4]]</f>
        <v>435.88167441039087</v>
      </c>
      <c r="M38" s="122">
        <f>SUM('Abr 25'!L35)</f>
        <v>383.67720989589412</v>
      </c>
      <c r="N38" s="108">
        <f>SUM('Pago Cuota MC 2025'!I35)</f>
        <v>400</v>
      </c>
      <c r="O38" s="119">
        <f>SUM(-M38,N38)+Tabla3[[#This Row],[Saldo7]]</f>
        <v>452.20446451449675</v>
      </c>
      <c r="P38" s="122">
        <f>SUM('May 25'!L35)</f>
        <v>420.10490126984126</v>
      </c>
      <c r="Q38" s="108">
        <f>SUM('Pago Cuota MC 2025'!J35)</f>
        <v>0</v>
      </c>
      <c r="R38" s="119">
        <f>SUM(-P38,Q38)+Tabla3[[#This Row],[Saldo13]]</f>
        <v>32.099563244655485</v>
      </c>
      <c r="S38" s="122">
        <f>SUM('Jun 25'!L35)</f>
        <v>370.57943067554243</v>
      </c>
      <c r="T38" s="108">
        <f>SUM('Pago Cuota MC 2025'!K35)</f>
        <v>0</v>
      </c>
      <c r="U38" s="119">
        <f>SUM(-S38,T38)+Tabla3[[#This Row],[Saldo132]]</f>
        <v>-338.47986743088694</v>
      </c>
      <c r="V38" s="122">
        <f>SUM('Jul 25'!L35)</f>
        <v>368.39860301145768</v>
      </c>
      <c r="W38" s="108">
        <f>SUM('Pago Cuota MC 2025'!L35)</f>
        <v>707</v>
      </c>
      <c r="X38" s="119">
        <f>SUM(-V38,W38)+Tabla3[[#This Row],[Saldo16]]</f>
        <v>0.12152955765537854</v>
      </c>
      <c r="Y38" s="122">
        <f>SUM('Ago 25'!L35)</f>
        <v>358.45221578887305</v>
      </c>
      <c r="Z38" s="108">
        <f>SUM('Pago Cuota MC 2025'!M35)</f>
        <v>358.34</v>
      </c>
      <c r="AA38" s="119">
        <f>SUM(-Y38,Z38)+Tabla3[[#This Row],[Saldo19]]</f>
        <v>9.3137687823059423E-3</v>
      </c>
      <c r="AB38" s="122">
        <f>SUM('Sep 25'!L35)</f>
        <v>359.24273514195579</v>
      </c>
      <c r="AC38" s="108">
        <f>SUM('Pago Cuota MC 2025'!N35)</f>
        <v>0</v>
      </c>
      <c r="AD38" s="119">
        <f>SUM(-AB38,AC38)+Tabla3[[#This Row],[Saldo22]]</f>
        <v>-359.23342137317348</v>
      </c>
      <c r="AE38" s="122">
        <f>SUM('Oct 25'!L35)</f>
        <v>355.47799511271654</v>
      </c>
      <c r="AF38" s="108">
        <f>SUM('Pago Cuota MC 2025'!O35)</f>
        <v>0</v>
      </c>
      <c r="AG38" s="145">
        <f>SUM(-AE38,AF38)+Tabla3[[#This Row],[Saldo25]]</f>
        <v>-714.71141648589003</v>
      </c>
      <c r="AH38" s="122">
        <f>SUM('Nov 25'!L35)</f>
        <v>406.46992649845811</v>
      </c>
      <c r="AI38" s="108">
        <f>SUM('Pago Cuota MC 2025'!P35)</f>
        <v>1000</v>
      </c>
      <c r="AJ38" s="119">
        <f>SUM(-AH38,AI38)+Tabla3[[#This Row],[Saldo28]]</f>
        <v>-121.18134298434813</v>
      </c>
      <c r="AK38" s="122">
        <f>SUM('Dic 25'!L35)</f>
        <v>366.24928261281605</v>
      </c>
      <c r="AL38" s="108">
        <f>SUM('Pago Cuota MC 2025'!Q35)</f>
        <v>0</v>
      </c>
      <c r="AM38" s="145">
        <f>SUM(-AK38,AL38)+Tabla3[[#This Row],[Saldo31]]</f>
        <v>-487.43062559716418</v>
      </c>
      <c r="AN38" s="128">
        <f t="shared" ref="AN38:AN69" si="3">SUM(AM38)</f>
        <v>-487.43062559716418</v>
      </c>
      <c r="AO38" s="29"/>
      <c r="AP38" s="106">
        <f>SUM(Tabla3[[#This Row],[Saldo Anual]])</f>
        <v>-487.43062559716418</v>
      </c>
    </row>
    <row r="39" spans="1:44" ht="16.149999999999999" thickBot="1" x14ac:dyDescent="0.5">
      <c r="A39" s="312"/>
      <c r="B39" s="16" t="s">
        <v>4</v>
      </c>
      <c r="C39" s="116">
        <v>402</v>
      </c>
      <c r="D39" s="118">
        <f>SUM('Ene 25'!L36)-('Pago Cuota MC 2024'!F36)</f>
        <v>323.98035062811715</v>
      </c>
      <c r="E39" s="108">
        <f>SUM('Pago Cuota MC 2025'!F36)</f>
        <v>330</v>
      </c>
      <c r="F39" s="119">
        <f t="shared" si="2"/>
        <v>6.0196493718828492</v>
      </c>
      <c r="G39" s="118">
        <f>SUM('Feb 25'!L36)</f>
        <v>365.03242336228999</v>
      </c>
      <c r="H39" s="108">
        <f>SUM('Pago Cuota MC 2025'!G36)</f>
        <v>360</v>
      </c>
      <c r="I39" s="119">
        <f>SUM(-G39,H39)+Tabla3[[#This Row],[Saldo]]</f>
        <v>0.98722600959285955</v>
      </c>
      <c r="J39" s="118">
        <f>SUM('Mar 25'!L36)</f>
        <v>394.92741832606316</v>
      </c>
      <c r="K39" s="108">
        <f>SUM('Pago Cuota MC 2025'!H36)</f>
        <v>395</v>
      </c>
      <c r="L39" s="119">
        <f>SUM(-J39,K39)+Tabla3[[#This Row],[Saldo4]]</f>
        <v>1.0598076835296979</v>
      </c>
      <c r="M39" s="122">
        <f>SUM('Abr 25'!L36)</f>
        <v>385.07517659174937</v>
      </c>
      <c r="N39" s="108">
        <f>SUM('Pago Cuota MC 2025'!I36)</f>
        <v>390</v>
      </c>
      <c r="O39" s="119">
        <f>SUM(-M39,N39)+Tabla3[[#This Row],[Saldo7]]</f>
        <v>5.9846310917803294</v>
      </c>
      <c r="P39" s="122">
        <f>SUM('May 25'!L36)</f>
        <v>392.30485960317458</v>
      </c>
      <c r="Q39" s="108">
        <f>SUM('Pago Cuota MC 2025'!J36)</f>
        <v>390</v>
      </c>
      <c r="R39" s="119">
        <f>SUM(-P39,Q39)+Tabla3[[#This Row],[Saldo13]]</f>
        <v>3.679771488605752</v>
      </c>
      <c r="S39" s="122">
        <f>SUM('Jun 25'!L36)</f>
        <v>372.53907169221804</v>
      </c>
      <c r="T39" s="108">
        <f>SUM('Pago Cuota MC 2025'!K36)</f>
        <v>370</v>
      </c>
      <c r="U39" s="119">
        <f>SUM(-S39,T39)+Tabla3[[#This Row],[Saldo132]]</f>
        <v>1.1406997963877075</v>
      </c>
      <c r="V39" s="122">
        <f>SUM('Jul 25'!L36)</f>
        <v>365.32917260965939</v>
      </c>
      <c r="W39" s="108">
        <f>SUM('Pago Cuota MC 2025'!L36)</f>
        <v>365</v>
      </c>
      <c r="X39" s="119">
        <f>SUM(-V39,W39)+Tabla3[[#This Row],[Saldo16]]</f>
        <v>0.8115271867283127</v>
      </c>
      <c r="Y39" s="122">
        <f>SUM('Ago 25'!L36)</f>
        <v>370.63244346362342</v>
      </c>
      <c r="Z39" s="108">
        <f>SUM('Pago Cuota MC 2025'!M36)</f>
        <v>370</v>
      </c>
      <c r="AA39" s="119">
        <f>SUM(-Y39,Z39)+Tabla3[[#This Row],[Saldo19]]</f>
        <v>0.1790837231048954</v>
      </c>
      <c r="AB39" s="122">
        <f>SUM('Sep 25'!L36)</f>
        <v>375.53574460567825</v>
      </c>
      <c r="AC39" s="108">
        <f>SUM('Pago Cuota MC 2025'!N36)</f>
        <v>376</v>
      </c>
      <c r="AD39" s="119">
        <f>SUM(-AB39,AC39)+Tabla3[[#This Row],[Saldo22]]</f>
        <v>0.64333911742664895</v>
      </c>
      <c r="AE39" s="122">
        <f>SUM('Oct 25'!L36)</f>
        <v>371.69807247575085</v>
      </c>
      <c r="AF39" s="108">
        <f>SUM('Pago Cuota MC 2025'!O36)</f>
        <v>372</v>
      </c>
      <c r="AG39" s="145">
        <f>SUM(-AE39,AF39)+Tabla3[[#This Row],[Saldo25]]</f>
        <v>0.94526664167580066</v>
      </c>
      <c r="AH39" s="122">
        <f>SUM('Nov 25'!L36)</f>
        <v>390.56310463134287</v>
      </c>
      <c r="AI39" s="108">
        <f>SUM('Pago Cuota MC 2025'!P36)</f>
        <v>390</v>
      </c>
      <c r="AJ39" s="119">
        <f>SUM(-AH39,AI39)+Tabla3[[#This Row],[Saldo28]]</f>
        <v>0.38216201033293373</v>
      </c>
      <c r="AK39" s="122">
        <f>SUM('Dic 25'!L36)</f>
        <v>414.4439938652352</v>
      </c>
      <c r="AL39" s="108">
        <f>SUM('Pago Cuota MC 2025'!Q36)</f>
        <v>415</v>
      </c>
      <c r="AM39" s="145">
        <f>SUM(-AK39,AL39)+Tabla3[[#This Row],[Saldo31]]</f>
        <v>0.93816814509773394</v>
      </c>
      <c r="AN39" s="128">
        <f t="shared" si="3"/>
        <v>0.93816814509773394</v>
      </c>
      <c r="AO39" s="29"/>
      <c r="AP39" s="106" t="s">
        <v>12</v>
      </c>
    </row>
    <row r="40" spans="1:44" ht="16.149999999999999" thickBot="1" x14ac:dyDescent="0.5">
      <c r="A40" s="312"/>
      <c r="B40" s="16" t="s">
        <v>4</v>
      </c>
      <c r="C40" s="116">
        <v>403</v>
      </c>
      <c r="D40" s="118">
        <f>SUM('Ene 25'!L37)-('Pago Cuota MC 2024'!F37)</f>
        <v>332.98792777766823</v>
      </c>
      <c r="E40" s="108">
        <f>SUM('Pago Cuota MC 2025'!F37)</f>
        <v>333</v>
      </c>
      <c r="F40" s="119">
        <f t="shared" si="2"/>
        <v>1.207222233176708E-2</v>
      </c>
      <c r="G40" s="118">
        <f>SUM('Feb 25'!L37)</f>
        <v>373.65099869695246</v>
      </c>
      <c r="H40" s="108">
        <f>SUM('Pago Cuota MC 2025'!G37)</f>
        <v>374</v>
      </c>
      <c r="I40" s="119">
        <f>SUM(-G40,H40)+Tabla3[[#This Row],[Saldo]]</f>
        <v>0.36107352537931092</v>
      </c>
      <c r="J40" s="118">
        <f>SUM('Mar 25'!L37)</f>
        <v>378.33556974372948</v>
      </c>
      <c r="K40" s="108">
        <f>SUM('Pago Cuota MC 2025'!H37)</f>
        <v>378</v>
      </c>
      <c r="L40" s="119">
        <f>SUM(-J40,K40)+Tabla3[[#This Row],[Saldo4]]</f>
        <v>2.5503781649831581E-2</v>
      </c>
      <c r="M40" s="122">
        <f>SUM('Abr 25'!L37)</f>
        <v>382.98914130278263</v>
      </c>
      <c r="N40" s="108">
        <f>SUM('Pago Cuota MC 2025'!I37)</f>
        <v>383</v>
      </c>
      <c r="O40" s="119">
        <f>SUM(-M40,N40)+Tabla3[[#This Row],[Saldo7]]</f>
        <v>3.6362478867204118E-2</v>
      </c>
      <c r="P40" s="122">
        <f>SUM('May 25'!L37)</f>
        <v>385.00400484126988</v>
      </c>
      <c r="Q40" s="108">
        <f>SUM('Pago Cuota MC 2025'!J37)</f>
        <v>385</v>
      </c>
      <c r="R40" s="119">
        <f>SUM(-P40,Q40)+Tabla3[[#This Row],[Saldo13]]</f>
        <v>3.2357637597328903E-2</v>
      </c>
      <c r="S40" s="122">
        <f>SUM('Jun 25'!L37)</f>
        <v>382.10203075623099</v>
      </c>
      <c r="T40" s="108">
        <f>SUM('Pago Cuota MC 2025'!K37)</f>
        <v>383</v>
      </c>
      <c r="U40" s="119">
        <f>SUM(-S40,T40)+Tabla3[[#This Row],[Saldo132]]</f>
        <v>0.93032688136634079</v>
      </c>
      <c r="V40" s="122">
        <f>SUM('Jul 25'!L37)</f>
        <v>325.11297019325031</v>
      </c>
      <c r="W40" s="108">
        <f>SUM('Pago Cuota MC 2025'!L37)</f>
        <v>325</v>
      </c>
      <c r="X40" s="119">
        <f>SUM(-V40,W40)+Tabla3[[#This Row],[Saldo16]]</f>
        <v>0.81735668811603546</v>
      </c>
      <c r="Y40" s="122">
        <f>SUM('Ago 25'!L37)</f>
        <v>323.15497173751783</v>
      </c>
      <c r="Z40" s="108">
        <f>SUM('Pago Cuota MC 2025'!M37)</f>
        <v>323</v>
      </c>
      <c r="AA40" s="119">
        <f>SUM(-Y40,Z40)+Tabla3[[#This Row],[Saldo19]]</f>
        <v>0.66238495059820934</v>
      </c>
      <c r="AB40" s="122">
        <f>SUM('Sep 25'!L37)</f>
        <v>320.83084870662458</v>
      </c>
      <c r="AC40" s="108">
        <f>SUM('Pago Cuota MC 2025'!N37)</f>
        <v>321</v>
      </c>
      <c r="AD40" s="119">
        <f>SUM(-AB40,AC40)+Tabla3[[#This Row],[Saldo22]]</f>
        <v>0.83153624397363046</v>
      </c>
      <c r="AE40" s="122">
        <f>SUM('Oct 25'!L37)</f>
        <v>317.23805110308382</v>
      </c>
      <c r="AF40" s="108">
        <f>SUM('Pago Cuota MC 2025'!O37)</f>
        <v>317</v>
      </c>
      <c r="AG40" s="145">
        <f>SUM(-AE40,AF40)+Tabla3[[#This Row],[Saldo25]]</f>
        <v>0.59348514088981119</v>
      </c>
      <c r="AH40" s="122">
        <f>SUM('Nov 25'!L37)</f>
        <v>323.57545744883657</v>
      </c>
      <c r="AI40" s="108">
        <f>SUM('Pago Cuota MC 2025'!P37)</f>
        <v>323</v>
      </c>
      <c r="AJ40" s="119">
        <f>SUM(-AH40,AI40)+Tabla3[[#This Row],[Saldo28]]</f>
        <v>1.8027692053237843E-2</v>
      </c>
      <c r="AK40" s="122">
        <f>SUM('Dic 25'!L37)</f>
        <v>320.69187777455232</v>
      </c>
      <c r="AL40" s="108">
        <f>SUM('Pago Cuota MC 2025'!Q37)</f>
        <v>321</v>
      </c>
      <c r="AM40" s="145">
        <f>SUM(-AK40,AL40)+Tabla3[[#This Row],[Saldo31]]</f>
        <v>0.32614991750091349</v>
      </c>
      <c r="AN40" s="128">
        <f t="shared" si="3"/>
        <v>0.32614991750091349</v>
      </c>
      <c r="AO40" s="29"/>
      <c r="AP40" s="106" t="s">
        <v>12</v>
      </c>
    </row>
    <row r="41" spans="1:44" ht="16.149999999999999" thickBot="1" x14ac:dyDescent="0.5">
      <c r="A41" s="312"/>
      <c r="B41" s="16" t="s">
        <v>4</v>
      </c>
      <c r="C41" s="116">
        <v>404</v>
      </c>
      <c r="D41" s="118">
        <f>SUM('Ene 25'!L38)-('Pago Cuota MC 2024'!F38)</f>
        <v>345.36501738538328</v>
      </c>
      <c r="E41" s="108">
        <f>SUM('Pago Cuota MC 2025'!F38)</f>
        <v>345.37</v>
      </c>
      <c r="F41" s="119">
        <f t="shared" si="2"/>
        <v>4.9826146167220031E-3</v>
      </c>
      <c r="G41" s="118">
        <f>SUM('Feb 25'!L38)</f>
        <v>386.16435671461124</v>
      </c>
      <c r="H41" s="108">
        <f>SUM('Pago Cuota MC 2025'!G38)</f>
        <v>386.16</v>
      </c>
      <c r="I41" s="119">
        <f>SUM(-G41,H41)+Tabla3[[#This Row],[Saldo]]</f>
        <v>6.259000055024444E-4</v>
      </c>
      <c r="J41" s="118">
        <f>SUM('Mar 25'!L38)</f>
        <v>406.85686696292254</v>
      </c>
      <c r="K41" s="108">
        <f>SUM('Pago Cuota MC 2025'!H38)</f>
        <v>406.86</v>
      </c>
      <c r="L41" s="119">
        <f>SUM(-J41,K41)+Tabla3[[#This Row],[Saldo4]]</f>
        <v>3.758937082977809E-3</v>
      </c>
      <c r="M41" s="122">
        <f>SUM('Abr 25'!L38)</f>
        <v>417.11391351527533</v>
      </c>
      <c r="N41" s="108">
        <f>SUM('Pago Cuota MC 2025'!I38)</f>
        <v>417.11</v>
      </c>
      <c r="O41" s="119">
        <f>SUM(-M41,N41)+Tabla3[[#This Row],[Saldo7]]</f>
        <v>-1.5457819233688497E-4</v>
      </c>
      <c r="P41" s="122">
        <f>SUM('May 25'!L38)</f>
        <v>416.54089888888888</v>
      </c>
      <c r="Q41" s="108">
        <f>SUM('Pago Cuota MC 2025'!J38)</f>
        <v>416.54</v>
      </c>
      <c r="R41" s="119">
        <f>SUM(-P41,Q41)+Tabla3[[#This Row],[Saldo13]]</f>
        <v>-1.0534670811921387E-3</v>
      </c>
      <c r="S41" s="122">
        <f>SUM('Jun 25'!L38)</f>
        <v>412.60129415052899</v>
      </c>
      <c r="T41" s="108">
        <f>SUM('Pago Cuota MC 2025'!K38)</f>
        <v>500</v>
      </c>
      <c r="U41" s="119">
        <f>SUM(-S41,T41)+Tabla3[[#This Row],[Saldo132]]</f>
        <v>87.397652382389822</v>
      </c>
      <c r="V41" s="122">
        <f>SUM('Jul 25'!L38)</f>
        <v>433.3427325984203</v>
      </c>
      <c r="W41" s="108">
        <f>SUM('Pago Cuota MC 2025'!L38)</f>
        <v>345.95</v>
      </c>
      <c r="X41" s="119">
        <f>SUM(-V41,W41)+Tabla3[[#This Row],[Saldo16]]</f>
        <v>4.9197839695125367E-3</v>
      </c>
      <c r="Y41" s="122">
        <f>SUM('Ago 25'!L38)</f>
        <v>418.65343096718971</v>
      </c>
      <c r="Z41" s="108">
        <f>SUM('Pago Cuota MC 2025'!M38)</f>
        <v>418.65</v>
      </c>
      <c r="AA41" s="119">
        <f>SUM(-Y41,Z41)+Tabla3[[#This Row],[Saldo19]]</f>
        <v>1.4888167797835195E-3</v>
      </c>
      <c r="AB41" s="122">
        <f>SUM('Sep 25'!L38)</f>
        <v>422.73303924290224</v>
      </c>
      <c r="AC41" s="108">
        <f>SUM('Pago Cuota MC 2025'!N38)</f>
        <v>422.73</v>
      </c>
      <c r="AD41" s="119">
        <f>SUM(-AB41,AC41)+Tabla3[[#This Row],[Saldo22]]</f>
        <v>-1.5504261224350557E-3</v>
      </c>
      <c r="AE41" s="122">
        <f>SUM('Oct 25'!L38)</f>
        <v>418.68409872499831</v>
      </c>
      <c r="AF41" s="108">
        <f>SUM('Pago Cuota MC 2025'!O38)</f>
        <v>418.69</v>
      </c>
      <c r="AG41" s="145">
        <f>SUM(-AE41,AF41)+Tabla3[[#This Row],[Saldo25]]</f>
        <v>4.350848879255409E-3</v>
      </c>
      <c r="AH41" s="122">
        <f>SUM('Nov 25'!L38)</f>
        <v>411.31240429492573</v>
      </c>
      <c r="AI41" s="108">
        <f>SUM('Pago Cuota MC 2025'!P38)</f>
        <v>411.31</v>
      </c>
      <c r="AJ41" s="119">
        <f>SUM(-AH41,AI41)+Tabla3[[#This Row],[Saldo28]]</f>
        <v>1.9465539535303833E-3</v>
      </c>
      <c r="AK41" s="122">
        <f>SUM('Dic 25'!L38)</f>
        <v>415.27331078533473</v>
      </c>
      <c r="AL41" s="108">
        <f>SUM('Pago Cuota MC 2025'!Q38)</f>
        <v>0</v>
      </c>
      <c r="AM41" s="145">
        <f>SUM(-AK41,AL41)+Tabla3[[#This Row],[Saldo31]]</f>
        <v>-415.2713642313812</v>
      </c>
      <c r="AN41" s="128">
        <f t="shared" si="3"/>
        <v>-415.2713642313812</v>
      </c>
      <c r="AO41" s="29"/>
      <c r="AP41" s="106">
        <f>SUM(Tabla3[[#This Row],[Saldo Anual]])</f>
        <v>-415.2713642313812</v>
      </c>
    </row>
    <row r="42" spans="1:44" ht="16.149999999999999" thickBot="1" x14ac:dyDescent="0.5">
      <c r="A42" s="312"/>
      <c r="B42" s="16" t="s">
        <v>4</v>
      </c>
      <c r="C42" s="116">
        <v>501</v>
      </c>
      <c r="D42" s="118">
        <f>SUM('Ene 25'!L39)-('Pago Cuota MC 2024'!F39)</f>
        <v>-95.193894199231977</v>
      </c>
      <c r="E42" s="108">
        <f>SUM('Pago Cuota MC 2025'!F39)</f>
        <v>0</v>
      </c>
      <c r="F42" s="119">
        <f t="shared" si="2"/>
        <v>95.193894199231977</v>
      </c>
      <c r="G42" s="118">
        <f>SUM('Feb 25'!L39)</f>
        <v>618.29210322557674</v>
      </c>
      <c r="H42" s="108">
        <f>SUM('Pago Cuota MC 2025'!G39)</f>
        <v>0</v>
      </c>
      <c r="I42" s="119">
        <f>SUM(-G42,H42)+Tabla3[[#This Row],[Saldo]]</f>
        <v>-523.09820902634476</v>
      </c>
      <c r="J42" s="118">
        <f>SUM('Mar 25'!L39)</f>
        <v>571.71543190294437</v>
      </c>
      <c r="K42" s="108">
        <f>SUM('Pago Cuota MC 2025'!H39)</f>
        <v>1000</v>
      </c>
      <c r="L42" s="119">
        <f>SUM(-J42,K42)+Tabla3[[#This Row],[Saldo4]]</f>
        <v>-94.813640929289136</v>
      </c>
      <c r="M42" s="122">
        <f>SUM('Abr 25'!L39)</f>
        <v>611.55436071317376</v>
      </c>
      <c r="N42" s="108">
        <f>SUM('Pago Cuota MC 2025'!I39)</f>
        <v>700</v>
      </c>
      <c r="O42" s="119">
        <f>SUM(-M42,N42)+Tabla3[[#This Row],[Saldo7]]</f>
        <v>-6.3680016424629002</v>
      </c>
      <c r="P42" s="122">
        <f>SUM('May 25'!L39)</f>
        <v>607.83646317460318</v>
      </c>
      <c r="Q42" s="108">
        <f>SUM('Pago Cuota MC 2025'!J39)</f>
        <v>614.20000000000005</v>
      </c>
      <c r="R42" s="119">
        <f>SUM(-P42,Q42)+Tabla3[[#This Row],[Saldo13]]</f>
        <v>-4.4648170660366304E-3</v>
      </c>
      <c r="S42" s="122">
        <f>SUM('Jun 25'!L39)</f>
        <v>552.51602123498299</v>
      </c>
      <c r="T42" s="108">
        <f>SUM('Pago Cuota MC 2025'!K39)</f>
        <v>553</v>
      </c>
      <c r="U42" s="119">
        <f>SUM(-S42,T42)+Tabla3[[#This Row],[Saldo132]]</f>
        <v>0.47951394795097713</v>
      </c>
      <c r="V42" s="122">
        <f>SUM('Jul 25'!L39)</f>
        <v>468.92538873778528</v>
      </c>
      <c r="W42" s="108">
        <f>SUM('Pago Cuota MC 2025'!L39)</f>
        <v>420</v>
      </c>
      <c r="X42" s="119">
        <f>SUM(-V42,W42)+Tabla3[[#This Row],[Saldo16]]</f>
        <v>-48.445874789834306</v>
      </c>
      <c r="Y42" s="122">
        <f>SUM('Ago 25'!L39)</f>
        <v>470.06845944079885</v>
      </c>
      <c r="Z42" s="108">
        <f>SUM('Pago Cuota MC 2025'!M39)</f>
        <v>900</v>
      </c>
      <c r="AA42" s="119">
        <f>SUM(-Y42,Z42)+Tabla3[[#This Row],[Saldo19]]</f>
        <v>381.48566576936685</v>
      </c>
      <c r="AB42" s="122">
        <f>SUM('Sep 25'!L39)</f>
        <v>480.79751873817031</v>
      </c>
      <c r="AC42" s="108">
        <f>SUM('Pago Cuota MC 2025'!N39)</f>
        <v>0</v>
      </c>
      <c r="AD42" s="119">
        <f>SUM(-AB42,AC42)+Tabla3[[#This Row],[Saldo22]]</f>
        <v>-99.311852968803464</v>
      </c>
      <c r="AE42" s="122">
        <f>SUM('Oct 25'!L39)</f>
        <v>486.48866525118734</v>
      </c>
      <c r="AF42" s="108">
        <f>SUM('Pago Cuota MC 2025'!O39)</f>
        <v>500</v>
      </c>
      <c r="AG42" s="145">
        <f>SUM(-AE42,AF42)+Tabla3[[#This Row],[Saldo25]]</f>
        <v>-85.800518219990806</v>
      </c>
      <c r="AH42" s="122">
        <f>SUM('Nov 25'!L39)</f>
        <v>511.35968066162036</v>
      </c>
      <c r="AI42" s="108">
        <f>SUM('Pago Cuota MC 2025'!P39)</f>
        <v>0</v>
      </c>
      <c r="AJ42" s="119">
        <f>SUM(-AH42,AI42)+Tabla3[[#This Row],[Saldo28]]</f>
        <v>-597.16019888161122</v>
      </c>
      <c r="AK42" s="122">
        <f>SUM('Dic 25'!L39)</f>
        <v>493.60745283675851</v>
      </c>
      <c r="AL42" s="108">
        <f>SUM('Pago Cuota MC 2025'!Q39)</f>
        <v>0</v>
      </c>
      <c r="AM42" s="145">
        <f>SUM(-AK42,AL42)+Tabla3[[#This Row],[Saldo31]]</f>
        <v>-1090.7676517183697</v>
      </c>
      <c r="AN42" s="128">
        <f t="shared" si="3"/>
        <v>-1090.7676517183697</v>
      </c>
      <c r="AO42" s="29"/>
      <c r="AP42" s="106">
        <f>SUM(Tabla3[[#This Row],[Saldo Anual]])</f>
        <v>-1090.7676517183697</v>
      </c>
    </row>
    <row r="43" spans="1:44" ht="16.149999999999999" thickBot="1" x14ac:dyDescent="0.5">
      <c r="A43" s="312"/>
      <c r="B43" s="16" t="s">
        <v>4</v>
      </c>
      <c r="C43" s="116">
        <v>502</v>
      </c>
      <c r="D43" s="118">
        <f>SUM('Ene 25'!L40)-('Pago Cuota MC 2024'!F40)</f>
        <v>38.904995724954404</v>
      </c>
      <c r="E43" s="108">
        <f>SUM('Pago Cuota MC 2025'!F40)</f>
        <v>0</v>
      </c>
      <c r="F43" s="119">
        <f t="shared" si="2"/>
        <v>-38.904995724954404</v>
      </c>
      <c r="G43" s="118">
        <f>SUM('Feb 25'!L40)</f>
        <v>391.97133691968099</v>
      </c>
      <c r="H43" s="108">
        <f>SUM('Pago Cuota MC 2025'!G40)</f>
        <v>430</v>
      </c>
      <c r="I43" s="119">
        <f>SUM(-G43,H43)+Tabla3[[#This Row],[Saldo]]</f>
        <v>-0.87633264463539717</v>
      </c>
      <c r="J43" s="118">
        <f>SUM('Mar 25'!L40)</f>
        <v>394.49462170665208</v>
      </c>
      <c r="K43" s="108">
        <f>SUM('Pago Cuota MC 2025'!H40)</f>
        <v>389</v>
      </c>
      <c r="L43" s="119">
        <f>SUM(-J43,K43)+Tabla3[[#This Row],[Saldo4]]</f>
        <v>-6.3709543512874802</v>
      </c>
      <c r="M43" s="122">
        <f>SUM('Abr 25'!L40)</f>
        <v>401.95457714633199</v>
      </c>
      <c r="N43" s="108">
        <f>SUM('Pago Cuota MC 2025'!I40)</f>
        <v>480</v>
      </c>
      <c r="O43" s="119">
        <f>SUM(-M43,N43)+Tabla3[[#This Row],[Saldo7]]</f>
        <v>71.674468502380535</v>
      </c>
      <c r="P43" s="122">
        <f>SUM('May 25'!L40)</f>
        <v>419.38880841269844</v>
      </c>
      <c r="Q43" s="108">
        <f>SUM('Pago Cuota MC 2025'!J40)</f>
        <v>300</v>
      </c>
      <c r="R43" s="119">
        <f>SUM(-P43,Q43)+Tabla3[[#This Row],[Saldo13]]</f>
        <v>-47.714339910317904</v>
      </c>
      <c r="S43" s="122">
        <f>SUM('Jun 25'!L40)</f>
        <v>433.28802664111532</v>
      </c>
      <c r="T43" s="108">
        <f>SUM('Pago Cuota MC 2025'!K40)</f>
        <v>380</v>
      </c>
      <c r="U43" s="119">
        <f>SUM(-S43,T43)+Tabla3[[#This Row],[Saldo132]]</f>
        <v>-101.00236655143323</v>
      </c>
      <c r="V43" s="122">
        <f>SUM('Jul 25'!L40)</f>
        <v>401.42144043770099</v>
      </c>
      <c r="W43" s="108">
        <f>SUM('Pago Cuota MC 2025'!L40)</f>
        <v>500</v>
      </c>
      <c r="X43" s="119">
        <f>SUM(-V43,W43)+Tabla3[[#This Row],[Saldo16]]</f>
        <v>-2.4238069891342207</v>
      </c>
      <c r="Y43" s="122">
        <f>SUM('Ago 25'!L40)</f>
        <v>403.02050954065624</v>
      </c>
      <c r="Z43" s="108">
        <f>SUM('Pago Cuota MC 2025'!M40)</f>
        <v>450</v>
      </c>
      <c r="AA43" s="119">
        <f>SUM(-Y43,Z43)+Tabla3[[#This Row],[Saldo19]]</f>
        <v>44.555683470209544</v>
      </c>
      <c r="AB43" s="122">
        <f>SUM('Sep 25'!L40)</f>
        <v>483.60947078864353</v>
      </c>
      <c r="AC43" s="108">
        <f>SUM('Pago Cuota MC 2025'!N40)</f>
        <v>439</v>
      </c>
      <c r="AD43" s="119">
        <f>SUM(-AB43,AC43)+Tabla3[[#This Row],[Saldo22]]</f>
        <v>-5.3787318433990094E-2</v>
      </c>
      <c r="AE43" s="122">
        <f>SUM('Oct 25'!L40)</f>
        <v>479.28803021205431</v>
      </c>
      <c r="AF43" s="108">
        <f>SUM('Pago Cuota MC 2025'!O40)</f>
        <v>479</v>
      </c>
      <c r="AG43" s="145">
        <f>SUM(-AE43,AF43)+Tabla3[[#This Row],[Saldo25]]</f>
        <v>-0.34181753048829933</v>
      </c>
      <c r="AH43" s="122">
        <f>SUM('Nov 25'!L40)</f>
        <v>426.0119751107373</v>
      </c>
      <c r="AI43" s="108">
        <f>SUM('Pago Cuota MC 2025'!P40)</f>
        <v>450</v>
      </c>
      <c r="AJ43" s="119">
        <f>SUM(-AH43,AI43)+Tabla3[[#This Row],[Saldo28]]</f>
        <v>23.646207358774404</v>
      </c>
      <c r="AK43" s="122">
        <f>SUM('Dic 25'!L40)</f>
        <v>411.61802767778704</v>
      </c>
      <c r="AL43" s="108">
        <f>SUM('Pago Cuota MC 2025'!Q40)</f>
        <v>0</v>
      </c>
      <c r="AM43" s="145">
        <f>SUM(-AK43,AL43)+Tabla3[[#This Row],[Saldo31]]</f>
        <v>-387.97182031901264</v>
      </c>
      <c r="AN43" s="128">
        <f>SUM(AM43)</f>
        <v>-387.97182031901264</v>
      </c>
      <c r="AO43" s="29"/>
      <c r="AP43" s="106">
        <f>SUM(Tabla3[[#This Row],[Saldo Anual]])</f>
        <v>-387.97182031901264</v>
      </c>
    </row>
    <row r="44" spans="1:44" ht="16.149999999999999" thickBot="1" x14ac:dyDescent="0.5">
      <c r="A44" s="312"/>
      <c r="B44" s="16" t="s">
        <v>4</v>
      </c>
      <c r="C44" s="116">
        <v>503</v>
      </c>
      <c r="D44" s="118">
        <f>SUM('Ene 25'!L41)-('Pago Cuota MC 2024'!F41)</f>
        <v>350.25460868015733</v>
      </c>
      <c r="E44" s="108">
        <f>SUM('Pago Cuota MC 2025'!F41)</f>
        <v>350.25</v>
      </c>
      <c r="F44" s="119">
        <f t="shared" si="2"/>
        <v>-4.608680157332401E-3</v>
      </c>
      <c r="G44" s="118">
        <f>SUM('Feb 25'!L41)</f>
        <v>429.79687195243525</v>
      </c>
      <c r="H44" s="108">
        <f>SUM('Pago Cuota MC 2025'!G41)</f>
        <v>429.8</v>
      </c>
      <c r="I44" s="119">
        <f>SUM(-G44,H44)+Tabla3[[#This Row],[Saldo]]</f>
        <v>-1.4806325925746933E-3</v>
      </c>
      <c r="J44" s="118">
        <f>SUM('Mar 25'!L41)</f>
        <v>419.8407655452562</v>
      </c>
      <c r="K44" s="108">
        <f>SUM('Pago Cuota MC 2025'!H41)</f>
        <v>420</v>
      </c>
      <c r="L44" s="119">
        <f>SUM(-J44,K44)+Tabla3[[#This Row],[Saldo4]]</f>
        <v>0.15775382215122136</v>
      </c>
      <c r="M44" s="122">
        <f>SUM('Abr 25'!L41)</f>
        <v>421.81460902023741</v>
      </c>
      <c r="N44" s="108">
        <f>SUM('Pago Cuota MC 2025'!I41)</f>
        <v>420</v>
      </c>
      <c r="O44" s="119">
        <f>SUM(-M44,N44)+Tabla3[[#This Row],[Saldo7]]</f>
        <v>-1.6568551980861912</v>
      </c>
      <c r="P44" s="122">
        <f>SUM('May 25'!L41)</f>
        <v>423.44255246031747</v>
      </c>
      <c r="Q44" s="108">
        <f>SUM('Pago Cuota MC 2025'!J41)</f>
        <v>425.1</v>
      </c>
      <c r="R44" s="119">
        <f>SUM(-P44,Q44)+Tabla3[[#This Row],[Saldo13]]</f>
        <v>5.9234159635934702E-4</v>
      </c>
      <c r="S44" s="122">
        <f>SUM('Jun 25'!L41)</f>
        <v>407.8435833651605</v>
      </c>
      <c r="T44" s="108">
        <f>SUM('Pago Cuota MC 2025'!K41)</f>
        <v>407.84</v>
      </c>
      <c r="U44" s="119">
        <f>SUM(-S44,T44)+Tabla3[[#This Row],[Saldo132]]</f>
        <v>-2.9910235641636973E-3</v>
      </c>
      <c r="V44" s="122">
        <f>SUM('Jul 25'!L41)</f>
        <v>408.06991292997407</v>
      </c>
      <c r="W44" s="108">
        <f>SUM('Pago Cuota MC 2025'!L41)</f>
        <v>0</v>
      </c>
      <c r="X44" s="119">
        <f>SUM(-V44,W44)+Tabla3[[#This Row],[Saldo16]]</f>
        <v>-408.07290395353823</v>
      </c>
      <c r="Y44" s="122">
        <f>SUM('Ago 25'!L41)</f>
        <v>408.0763793266762</v>
      </c>
      <c r="Z44" s="108">
        <f>SUM('Pago Cuota MC 2025'!M41)</f>
        <v>800</v>
      </c>
      <c r="AA44" s="119">
        <f>SUM(-Y44,Z44)+Tabla3[[#This Row],[Saldo19]]</f>
        <v>-16.149283280214433</v>
      </c>
      <c r="AB44" s="122">
        <f>SUM('Sep 25'!L41)</f>
        <v>412.73477804416405</v>
      </c>
      <c r="AC44" s="108">
        <f>SUM('Pago Cuota MC 2025'!N41)</f>
        <v>0</v>
      </c>
      <c r="AD44" s="119">
        <f>SUM(-AB44,AC44)+Tabla3[[#This Row],[Saldo22]]</f>
        <v>-428.88406132437848</v>
      </c>
      <c r="AE44" s="122">
        <f>SUM('Oct 25'!L41)</f>
        <v>398.77535537761719</v>
      </c>
      <c r="AF44" s="108">
        <f>SUM('Pago Cuota MC 2025'!O41)</f>
        <v>0</v>
      </c>
      <c r="AG44" s="145">
        <f>SUM(-AE44,AF44)+Tabla3[[#This Row],[Saldo25]]</f>
        <v>-827.65941670199572</v>
      </c>
      <c r="AH44" s="122">
        <f>SUM('Nov 25'!L41)</f>
        <v>422.40802447995509</v>
      </c>
      <c r="AI44" s="108">
        <f>SUM('Pago Cuota MC 2025'!P41)</f>
        <v>0</v>
      </c>
      <c r="AJ44" s="119">
        <f>SUM(-AH44,AI44)+Tabla3[[#This Row],[Saldo28]]</f>
        <v>-1250.0674411819509</v>
      </c>
      <c r="AK44" s="122">
        <f>SUM('Dic 25'!L41)</f>
        <v>403.20797813396621</v>
      </c>
      <c r="AL44" s="108">
        <f>SUM('Pago Cuota MC 2025'!Q41)</f>
        <v>0</v>
      </c>
      <c r="AM44" s="145">
        <f>SUM(-AK44,AL44)+Tabla3[[#This Row],[Saldo31]]</f>
        <v>-1653.2754193159171</v>
      </c>
      <c r="AN44" s="128">
        <f t="shared" si="3"/>
        <v>-1653.2754193159171</v>
      </c>
      <c r="AO44" s="29"/>
      <c r="AP44" s="106">
        <f>SUM(Tabla3[[#This Row],[Saldo Anual]])</f>
        <v>-1653.2754193159171</v>
      </c>
    </row>
    <row r="45" spans="1:44" ht="16.149999999999999" thickBot="1" x14ac:dyDescent="0.5">
      <c r="A45" s="312"/>
      <c r="B45" s="16" t="s">
        <v>4</v>
      </c>
      <c r="C45" s="116">
        <v>504</v>
      </c>
      <c r="D45" s="118">
        <f>SUM('Ene 25'!L42)-('Pago Cuota MC 2024'!F42)</f>
        <v>320.91030866585731</v>
      </c>
      <c r="E45" s="108">
        <f>SUM('Pago Cuota MC 2025'!F42)</f>
        <v>320.91000000000003</v>
      </c>
      <c r="F45" s="119">
        <f t="shared" si="2"/>
        <v>-3.0866585728972495E-4</v>
      </c>
      <c r="G45" s="118">
        <f>SUM('Feb 25'!L42)</f>
        <v>346.77856235403021</v>
      </c>
      <c r="H45" s="108">
        <f>SUM('Pago Cuota MC 2025'!G42)</f>
        <v>346.78</v>
      </c>
      <c r="I45" s="119">
        <f>SUM(-G45,H45)+Tabla3[[#This Row],[Saldo]]</f>
        <v>1.1289801124689802E-3</v>
      </c>
      <c r="J45" s="118">
        <f>SUM('Mar 25'!L42)</f>
        <v>348.40178173936744</v>
      </c>
      <c r="K45" s="108">
        <f>SUM('Pago Cuota MC 2025'!H42)</f>
        <v>348.4</v>
      </c>
      <c r="L45" s="119">
        <f>SUM(-J45,K45)+Tabla3[[#This Row],[Saldo4]]</f>
        <v>-6.5275925499008736E-4</v>
      </c>
      <c r="M45" s="122">
        <f>SUM('Abr 25'!L42)</f>
        <v>351.43023315917492</v>
      </c>
      <c r="N45" s="108">
        <f>SUM('Pago Cuota MC 2025'!I42)</f>
        <v>351.43</v>
      </c>
      <c r="O45" s="119">
        <f>SUM(-M45,N45)+Tabla3[[#This Row],[Saldo7]]</f>
        <v>-8.8591842990126679E-4</v>
      </c>
      <c r="P45" s="122">
        <f>SUM('May 25'!L42)</f>
        <v>360.91612269841272</v>
      </c>
      <c r="Q45" s="108">
        <f>SUM('Pago Cuota MC 2025'!J42)</f>
        <v>360.92</v>
      </c>
      <c r="R45" s="119">
        <f>SUM(-P45,Q45)+Tabla3[[#This Row],[Saldo13]]</f>
        <v>2.9913831573935568E-3</v>
      </c>
      <c r="S45" s="122">
        <f>SUM('Jun 25'!L42)</f>
        <v>350.94120391384257</v>
      </c>
      <c r="T45" s="108">
        <f>SUM('Pago Cuota MC 2025'!K42)</f>
        <v>350.94</v>
      </c>
      <c r="U45" s="119">
        <f>SUM(-S45,T45)+Tabla3[[#This Row],[Saldo132]]</f>
        <v>1.7874693148201004E-3</v>
      </c>
      <c r="V45" s="122">
        <f>SUM('Jul 25'!L42)</f>
        <v>347.43396215728512</v>
      </c>
      <c r="W45" s="108">
        <f>SUM('Pago Cuota MC 2025'!L42)</f>
        <v>347.43</v>
      </c>
      <c r="X45" s="119">
        <f>SUM(-V45,W45)+Tabla3[[#This Row],[Saldo16]]</f>
        <v>-2.1746879702959632E-3</v>
      </c>
      <c r="Y45" s="122">
        <f>SUM('Ago 25'!L42)</f>
        <v>344.11747593152637</v>
      </c>
      <c r="Z45" s="108">
        <f>SUM('Pago Cuota MC 2025'!M42)</f>
        <v>344.12</v>
      </c>
      <c r="AA45" s="119">
        <f>SUM(-Y45,Z45)+Tabla3[[#This Row],[Saldo19]]</f>
        <v>3.4938050333721549E-4</v>
      </c>
      <c r="AB45" s="122">
        <f>SUM('Sep 25'!L42)</f>
        <v>320.83084870662458</v>
      </c>
      <c r="AC45" s="108">
        <f>SUM('Pago Cuota MC 2025'!N42)</f>
        <v>320.83</v>
      </c>
      <c r="AD45" s="119">
        <f>SUM(-AB45,AC45)+Tabla3[[#This Row],[Saldo22]]</f>
        <v>-4.9932612125758169E-4</v>
      </c>
      <c r="AE45" s="122">
        <f>SUM('Oct 25'!L42)</f>
        <v>317.23805110308382</v>
      </c>
      <c r="AF45" s="108">
        <f>SUM('Pago Cuota MC 2025'!O42)</f>
        <v>317.24</v>
      </c>
      <c r="AG45" s="145">
        <f>SUM(-AE45,AF45)+Tabla3[[#This Row],[Saldo25]]</f>
        <v>1.4495707949322423E-3</v>
      </c>
      <c r="AH45" s="122">
        <f>SUM('Nov 25'!L42)</f>
        <v>358.067645085506</v>
      </c>
      <c r="AI45" s="108">
        <f>SUM('Pago Cuota MC 2025'!P42)</f>
        <v>358.07</v>
      </c>
      <c r="AJ45" s="119">
        <f>SUM(-AH45,AI45)+Tabla3[[#This Row],[Saldo28]]</f>
        <v>3.8044852889242975E-3</v>
      </c>
      <c r="AK45" s="122">
        <f>SUM('Dic 25'!L42)</f>
        <v>345.90940080468778</v>
      </c>
      <c r="AL45" s="108">
        <f>SUM('Pago Cuota MC 2025'!Q42)</f>
        <v>345.91</v>
      </c>
      <c r="AM45" s="145">
        <f>SUM(-AK45,AL45)+Tabla3[[#This Row],[Saldo31]]</f>
        <v>4.4036806011717999E-3</v>
      </c>
      <c r="AN45" s="128">
        <f t="shared" si="3"/>
        <v>4.4036806011717999E-3</v>
      </c>
      <c r="AO45" s="29"/>
      <c r="AP45" s="106" t="s">
        <v>12</v>
      </c>
    </row>
    <row r="46" spans="1:44" ht="16.149999999999999" thickBot="1" x14ac:dyDescent="0.5">
      <c r="A46" s="313"/>
      <c r="B46" s="16" t="s">
        <v>5</v>
      </c>
      <c r="C46" s="116">
        <v>101</v>
      </c>
      <c r="D46" s="118">
        <f>SUM('Ene 25'!L43)-('Pago Cuota MC 2024'!F43)</f>
        <v>318.62193359871304</v>
      </c>
      <c r="E46" s="108">
        <f>SUM('Pago Cuota MC 2025'!F43)</f>
        <v>300</v>
      </c>
      <c r="F46" s="119">
        <f t="shared" si="2"/>
        <v>-18.621933598713042</v>
      </c>
      <c r="G46" s="118">
        <f>SUM('Feb 25'!L43)</f>
        <v>349.61362002990603</v>
      </c>
      <c r="H46" s="108">
        <f>SUM('Pago Cuota MC 2025'!G43)</f>
        <v>359</v>
      </c>
      <c r="I46" s="119">
        <f>SUM(-G46,H46)+Tabla3[[#This Row],[Saldo]]</f>
        <v>-9.2355536286190727</v>
      </c>
      <c r="J46" s="118">
        <f>SUM('Mar 25'!L43)</f>
        <v>349.88902830425297</v>
      </c>
      <c r="K46" s="108">
        <f>SUM('Pago Cuota MC 2025'!H43)</f>
        <v>360</v>
      </c>
      <c r="L46" s="119">
        <f>SUM(-J46,K46)+Tabla3[[#This Row],[Saldo4]]</f>
        <v>0.87541806712795278</v>
      </c>
      <c r="M46" s="122">
        <f>SUM('Abr 25'!L43)</f>
        <v>348.24628456022572</v>
      </c>
      <c r="N46" s="108">
        <f>SUM('Pago Cuota MC 2025'!I43)</f>
        <v>347.47</v>
      </c>
      <c r="O46" s="119">
        <f>SUM(-M46,N46)+Tabla3[[#This Row],[Saldo7]]</f>
        <v>9.9133506902262525E-2</v>
      </c>
      <c r="P46" s="122">
        <f>SUM('May 25'!L43)</f>
        <v>392.06616198412701</v>
      </c>
      <c r="Q46" s="108">
        <f>SUM('Pago Cuota MC 2025'!J43)</f>
        <v>391.97</v>
      </c>
      <c r="R46" s="119">
        <f>SUM(-P46,Q46)+Tabla3[[#This Row],[Saldo13]]</f>
        <v>2.9715227752831197E-3</v>
      </c>
      <c r="S46" s="122">
        <f>SUM('Jun 25'!L43)</f>
        <v>350.62428729200286</v>
      </c>
      <c r="T46" s="108">
        <f>SUM('Pago Cuota MC 2025'!K43)</f>
        <v>350.62</v>
      </c>
      <c r="U46" s="119">
        <f>SUM(-S46,T46)+Tabla3[[#This Row],[Saldo132]]</f>
        <v>-1.3157692275740374E-3</v>
      </c>
      <c r="V46" s="122">
        <f>SUM('Jul 25'!L43)</f>
        <v>346.70482543348635</v>
      </c>
      <c r="W46" s="108">
        <f>SUM('Pago Cuota MC 2025'!L43)</f>
        <v>346.71</v>
      </c>
      <c r="X46" s="119">
        <f>SUM(-V46,W46)+Tabla3[[#This Row],[Saldo16]]</f>
        <v>3.8587972860568698E-3</v>
      </c>
      <c r="Y46" s="122">
        <f>SUM('Ago 25'!L43)</f>
        <v>344.38336854208274</v>
      </c>
      <c r="Z46" s="108">
        <f>SUM('Pago Cuota MC 2025'!M43)</f>
        <v>344.38</v>
      </c>
      <c r="AA46" s="119">
        <f>SUM(-Y46,Z46)+Tabla3[[#This Row],[Saldo19]]</f>
        <v>4.9025520331724692E-4</v>
      </c>
      <c r="AB46" s="122">
        <f>SUM('Sep 25'!L43)</f>
        <v>343.62941022082015</v>
      </c>
      <c r="AC46" s="108">
        <f>SUM('Pago Cuota MC 2025'!N43)</f>
        <v>343.63</v>
      </c>
      <c r="AD46" s="119">
        <f>SUM(-AB46,AC46)+Tabla3[[#This Row],[Saldo22]]</f>
        <v>1.0800343831647297E-3</v>
      </c>
      <c r="AE46" s="122">
        <f>SUM('Oct 25'!L43)</f>
        <v>339.93455983276471</v>
      </c>
      <c r="AF46" s="108">
        <f>SUM('Pago Cuota MC 2025'!O43)</f>
        <v>345</v>
      </c>
      <c r="AG46" s="145">
        <f>SUM(-AE46,AF46)+Tabla3[[#This Row],[Saldo25]]</f>
        <v>5.0665202016184594</v>
      </c>
      <c r="AH46" s="122">
        <f>SUM('Nov 25'!L43)</f>
        <v>353.74073928231007</v>
      </c>
      <c r="AI46" s="108">
        <f>SUM('Pago Cuota MC 2025'!P43)</f>
        <v>348.67</v>
      </c>
      <c r="AJ46" s="119">
        <f>SUM(-AH46,AI46)+Tabla3[[#This Row],[Saldo28]]</f>
        <v>-4.2190806915982648E-3</v>
      </c>
      <c r="AK46" s="122">
        <f>SUM('Dic 25'!L43)</f>
        <v>347.65450370764603</v>
      </c>
      <c r="AL46" s="108">
        <f>SUM('Pago Cuota MC 2025'!Q43)</f>
        <v>348</v>
      </c>
      <c r="AM46" s="145">
        <f>SUM(-AK46,AL46)+Tabla3[[#This Row],[Saldo31]]</f>
        <v>0.34127721166237279</v>
      </c>
      <c r="AN46" s="128">
        <f t="shared" si="3"/>
        <v>0.34127721166237279</v>
      </c>
      <c r="AO46" s="29"/>
      <c r="AP46" s="106" t="s">
        <v>12</v>
      </c>
    </row>
    <row r="47" spans="1:44" ht="16.149999999999999" thickBot="1" x14ac:dyDescent="0.5">
      <c r="A47" s="313"/>
      <c r="B47" s="16" t="s">
        <v>5</v>
      </c>
      <c r="C47" s="116">
        <v>102</v>
      </c>
      <c r="D47" s="118">
        <f>SUM('Ene 25'!L44)-('Pago Cuota MC 2024'!F44)</f>
        <v>359.25513249381009</v>
      </c>
      <c r="E47" s="108">
        <f>SUM('Pago Cuota MC 2025'!F44)</f>
        <v>359.26</v>
      </c>
      <c r="F47" s="119">
        <f t="shared" si="2"/>
        <v>4.8675061898961758E-3</v>
      </c>
      <c r="G47" s="118">
        <f>SUM('Feb 25'!L44)</f>
        <v>412.42676685417263</v>
      </c>
      <c r="H47" s="108">
        <f>SUM('Pago Cuota MC 2025'!G44)</f>
        <v>412.42</v>
      </c>
      <c r="I47" s="119">
        <f>SUM(-G47,H47)+Tabla3[[#This Row],[Saldo]]</f>
        <v>-1.8993479827145165E-3</v>
      </c>
      <c r="J47" s="118">
        <f>SUM('Mar 25'!L44)</f>
        <v>431.38856625408937</v>
      </c>
      <c r="K47" s="108">
        <f>SUM('Pago Cuota MC 2025'!H44)</f>
        <v>431.39</v>
      </c>
      <c r="L47" s="119">
        <f>SUM(-J47,K47)+Tabla3[[#This Row],[Saldo4]]</f>
        <v>-4.6560207209722648E-4</v>
      </c>
      <c r="M47" s="122">
        <f>SUM('Abr 25'!L44)</f>
        <v>411.9781190319128</v>
      </c>
      <c r="N47" s="108">
        <f>SUM('Pago Cuota MC 2025'!I44)</f>
        <v>411.98</v>
      </c>
      <c r="O47" s="119">
        <f>SUM(-M47,N47)+Tabla3[[#This Row],[Saldo7]]</f>
        <v>1.4153660151237091E-3</v>
      </c>
      <c r="P47" s="122">
        <f>SUM('May 25'!L44)</f>
        <v>420.7551465079365</v>
      </c>
      <c r="Q47" s="108">
        <f>SUM('Pago Cuota MC 2025'!J44)</f>
        <v>420.75</v>
      </c>
      <c r="R47" s="119">
        <f>SUM(-P47,Q47)+Tabla3[[#This Row],[Saldo13]]</f>
        <v>-3.7311419213779118E-3</v>
      </c>
      <c r="S47" s="122">
        <f>SUM('Jun 25'!L44)</f>
        <v>399.18383667339072</v>
      </c>
      <c r="T47" s="108">
        <f>SUM('Pago Cuota MC 2025'!K44)</f>
        <v>400</v>
      </c>
      <c r="U47" s="119">
        <f>SUM(-S47,T47)+Tabla3[[#This Row],[Saldo132]]</f>
        <v>0.81243218468790701</v>
      </c>
      <c r="V47" s="122">
        <f>SUM('Jul 25'!L44)</f>
        <v>406.57635867316037</v>
      </c>
      <c r="W47" s="108">
        <f>SUM('Pago Cuota MC 2025'!L44)</f>
        <v>405.76</v>
      </c>
      <c r="X47" s="119">
        <f>SUM(-V47,W47)+Tabla3[[#This Row],[Saldo16]]</f>
        <v>-3.9264884724730109E-3</v>
      </c>
      <c r="Y47" s="122">
        <f>SUM('Ago 25'!L44)</f>
        <v>395.82576831383739</v>
      </c>
      <c r="Z47" s="108">
        <f>SUM('Pago Cuota MC 2025'!M44)</f>
        <v>395.83</v>
      </c>
      <c r="AA47" s="119">
        <f>SUM(-Y47,Z47)+Tabla3[[#This Row],[Saldo19]]</f>
        <v>3.0519769012471443E-4</v>
      </c>
      <c r="AB47" s="122">
        <f>SUM('Sep 25'!L44)</f>
        <v>393.71633514195582</v>
      </c>
      <c r="AC47" s="108">
        <f>SUM('Pago Cuota MC 2025'!N44)</f>
        <v>393.62</v>
      </c>
      <c r="AD47" s="119">
        <f>SUM(-AB47,AC47)+Tabla3[[#This Row],[Saldo22]]</f>
        <v>-9.6029944265694667E-2</v>
      </c>
      <c r="AE47" s="122">
        <f>SUM('Oct 25'!L44)</f>
        <v>389.79728156665999</v>
      </c>
      <c r="AF47" s="108">
        <f>SUM('Pago Cuota MC 2025'!O44)</f>
        <v>389.89</v>
      </c>
      <c r="AG47" s="145">
        <f>SUM(-AE47,AF47)+Tabla3[[#This Row],[Saldo25]]</f>
        <v>-3.3115109256982578E-3</v>
      </c>
      <c r="AH47" s="122">
        <f>SUM('Nov 25'!L44)</f>
        <v>376.44310101485843</v>
      </c>
      <c r="AI47" s="108">
        <f>SUM('Pago Cuota MC 2025'!P44)</f>
        <v>376.45</v>
      </c>
      <c r="AJ47" s="119">
        <f>SUM(-AH47,AI47)+Tabla3[[#This Row],[Saldo28]]</f>
        <v>3.587474215862585E-3</v>
      </c>
      <c r="AK47" s="122">
        <f>SUM('Dic 25'!L44)</f>
        <v>404.30746146269166</v>
      </c>
      <c r="AL47" s="108">
        <f>SUM('Pago Cuota MC 2025'!Q44)</f>
        <v>404.3</v>
      </c>
      <c r="AM47" s="145">
        <f>SUM(-AK47,AL47)+Tabla3[[#This Row],[Saldo31]]</f>
        <v>-3.8739884757887921E-3</v>
      </c>
      <c r="AN47" s="128">
        <f t="shared" si="3"/>
        <v>-3.8739884757887921E-3</v>
      </c>
      <c r="AO47" s="29"/>
      <c r="AP47" s="106" t="s">
        <v>12</v>
      </c>
    </row>
    <row r="48" spans="1:44" ht="16.149999999999999" thickBot="1" x14ac:dyDescent="0.5">
      <c r="A48" s="313"/>
      <c r="B48" s="16" t="s">
        <v>5</v>
      </c>
      <c r="C48" s="116">
        <v>103</v>
      </c>
      <c r="D48" s="118">
        <f>SUM('Ene 25'!L45)-('Pago Cuota MC 2024'!F45)</f>
        <v>314.17401209275266</v>
      </c>
      <c r="E48" s="108">
        <f>SUM('Pago Cuota MC 2025'!F45)</f>
        <v>314.17</v>
      </c>
      <c r="F48" s="119">
        <f t="shared" si="2"/>
        <v>-4.0120927526459127E-3</v>
      </c>
      <c r="G48" s="118">
        <f>SUM('Feb 25'!L45)</f>
        <v>334.72272398889208</v>
      </c>
      <c r="H48" s="108">
        <f>SUM('Pago Cuota MC 2025'!G45)</f>
        <v>334.73</v>
      </c>
      <c r="I48" s="119">
        <f>SUM(-G48,H48)+Tabla3[[#This Row],[Saldo]]</f>
        <v>3.2639183552873874E-3</v>
      </c>
      <c r="J48" s="118">
        <f>SUM('Mar 25'!L45)</f>
        <v>337.62908043075242</v>
      </c>
      <c r="K48" s="108">
        <f>SUM('Pago Cuota MC 2025'!H45)</f>
        <v>337.63</v>
      </c>
      <c r="L48" s="119">
        <f>SUM(-J48,K48)+Tabla3[[#This Row],[Saldo4]]</f>
        <v>4.1834876028588042E-3</v>
      </c>
      <c r="M48" s="122">
        <f>SUM('Abr 25'!L45)</f>
        <v>317.52097726308619</v>
      </c>
      <c r="N48" s="108">
        <f>SUM('Pago Cuota MC 2025'!I45)</f>
        <v>317.52</v>
      </c>
      <c r="O48" s="119">
        <f>SUM(-M48,N48)+Tabla3[[#This Row],[Saldo7]]</f>
        <v>3.2062245166457615E-3</v>
      </c>
      <c r="P48" s="122">
        <f>SUM('May 25'!L45)</f>
        <v>343.72989412698411</v>
      </c>
      <c r="Q48" s="108">
        <f>SUM('Pago Cuota MC 2025'!J45)</f>
        <v>343.73</v>
      </c>
      <c r="R48" s="119">
        <f>SUM(-P48,Q48)+Tabla3[[#This Row],[Saldo13]]</f>
        <v>3.3120975325573454E-3</v>
      </c>
      <c r="S48" s="122">
        <f>SUM('Jun 25'!L45)</f>
        <v>329.95736209028149</v>
      </c>
      <c r="T48" s="108">
        <f>SUM('Pago Cuota MC 2025'!K45)</f>
        <v>329.95</v>
      </c>
      <c r="U48" s="119">
        <f>SUM(-S48,T48)+Tabla3[[#This Row],[Saldo132]]</f>
        <v>-4.0499927489463516E-3</v>
      </c>
      <c r="V48" s="122">
        <f>SUM('Jul 25'!L45)</f>
        <v>324.00750483781337</v>
      </c>
      <c r="W48" s="108">
        <f>SUM('Pago Cuota MC 2025'!L45)</f>
        <v>324.01</v>
      </c>
      <c r="X48" s="119">
        <f>SUM(-V48,W48)+Tabla3[[#This Row],[Saldo16]]</f>
        <v>-1.5548305623269698E-3</v>
      </c>
      <c r="Y48" s="122">
        <f>SUM('Ago 25'!L45)</f>
        <v>323.15106155206848</v>
      </c>
      <c r="Z48" s="108">
        <f>SUM('Pago Cuota MC 2025'!M45)</f>
        <v>323.14999999999998</v>
      </c>
      <c r="AA48" s="119">
        <f>SUM(-Y48,Z48)+Tabla3[[#This Row],[Saldo19]]</f>
        <v>-2.6163826308334137E-3</v>
      </c>
      <c r="AB48" s="122">
        <f>SUM('Sep 25'!L45)</f>
        <v>320.83084870662458</v>
      </c>
      <c r="AC48" s="108">
        <f>SUM('Pago Cuota MC 2025'!N45)</f>
        <v>320.83</v>
      </c>
      <c r="AD48" s="119">
        <f>SUM(-AB48,AC48)+Tabla3[[#This Row],[Saldo22]]</f>
        <v>-3.4650892554282109E-3</v>
      </c>
      <c r="AE48" s="122">
        <f>SUM('Oct 25'!L45)</f>
        <v>317.23805110308382</v>
      </c>
      <c r="AF48" s="108">
        <f>SUM('Pago Cuota MC 2025'!O45)</f>
        <v>317.24</v>
      </c>
      <c r="AG48" s="145">
        <f>SUM(-AE48,AF48)+Tabla3[[#This Row],[Saldo25]]</f>
        <v>-1.5161923392383869E-3</v>
      </c>
      <c r="AH48" s="122">
        <f>SUM('Nov 25'!L45)</f>
        <v>323.571487810485</v>
      </c>
      <c r="AI48" s="108">
        <f>SUM('Pago Cuota MC 2025'!P45)</f>
        <v>323.57</v>
      </c>
      <c r="AJ48" s="119">
        <f>SUM(-AH48,AI48)+Tabla3[[#This Row],[Saldo28]]</f>
        <v>-3.0040028242410699E-3</v>
      </c>
      <c r="AK48" s="122">
        <f>SUM('Dic 25'!L45)</f>
        <v>331.90977852102731</v>
      </c>
      <c r="AL48" s="108">
        <f>SUM('Pago Cuota MC 2025'!Q45)</f>
        <v>331.91</v>
      </c>
      <c r="AM48" s="145">
        <f>SUM(-AK48,AL48)+Tabla3[[#This Row],[Saldo31]]</f>
        <v>-2.7825238515220008E-3</v>
      </c>
      <c r="AN48" s="128">
        <f t="shared" si="3"/>
        <v>-2.7825238515220008E-3</v>
      </c>
      <c r="AO48" s="29"/>
      <c r="AP48" s="106" t="s">
        <v>12</v>
      </c>
    </row>
    <row r="49" spans="1:43" ht="16.149999999999999" thickBot="1" x14ac:dyDescent="0.5">
      <c r="A49" s="313"/>
      <c r="B49" s="16" t="s">
        <v>5</v>
      </c>
      <c r="C49" s="116">
        <v>104</v>
      </c>
      <c r="D49" s="118">
        <f>SUM('Ene 25'!L46)-('Pago Cuota MC 2024'!F46)</f>
        <v>-119.41959234827863</v>
      </c>
      <c r="E49" s="108">
        <f>SUM('Pago Cuota MC 2025'!F46)</f>
        <v>0</v>
      </c>
      <c r="F49" s="119">
        <f t="shared" si="2"/>
        <v>119.41959234827863</v>
      </c>
      <c r="G49" s="118">
        <f>SUM('Feb 25'!L46)</f>
        <v>372.92365976217604</v>
      </c>
      <c r="H49" s="108">
        <f>SUM('Pago Cuota MC 2025'!G46)</f>
        <v>500</v>
      </c>
      <c r="I49" s="119">
        <f>SUM(-G49,H49)+Tabla3[[#This Row],[Saldo]]</f>
        <v>246.49593258610258</v>
      </c>
      <c r="J49" s="118">
        <f>SUM('Mar 25'!L46)</f>
        <v>362.06241685387124</v>
      </c>
      <c r="K49" s="108">
        <f>SUM('Pago Cuota MC 2025'!H46)</f>
        <v>400</v>
      </c>
      <c r="L49" s="119">
        <f>SUM(-J49,K49)+Tabla3[[#This Row],[Saldo4]]</f>
        <v>284.43351573223134</v>
      </c>
      <c r="M49" s="122">
        <f>SUM('Abr 25'!L46)</f>
        <v>384.67667472368163</v>
      </c>
      <c r="N49" s="108">
        <f>SUM('Pago Cuota MC 2025'!I46)</f>
        <v>0</v>
      </c>
      <c r="O49" s="119">
        <f>SUM(-M49,N49)+Tabla3[[#This Row],[Saldo7]]</f>
        <v>-100.24315899145029</v>
      </c>
      <c r="P49" s="122">
        <f>SUM('May 25'!L46)</f>
        <v>402.65116674603178</v>
      </c>
      <c r="Q49" s="108">
        <f>SUM('Pago Cuota MC 2025'!J46)</f>
        <v>400</v>
      </c>
      <c r="R49" s="119">
        <f>SUM(-P49,Q49)+Tabla3[[#This Row],[Saldo13]]</f>
        <v>-102.89432573748206</v>
      </c>
      <c r="S49" s="122">
        <f>SUM('Jun 25'!L46)</f>
        <v>415.72688433342302</v>
      </c>
      <c r="T49" s="108">
        <f>SUM('Pago Cuota MC 2025'!K46)</f>
        <v>500</v>
      </c>
      <c r="U49" s="119">
        <f>SUM(-S49,T49)+Tabla3[[#This Row],[Saldo132]]</f>
        <v>-18.621210070905079</v>
      </c>
      <c r="V49" s="122">
        <f>SUM('Jul 25'!L46)</f>
        <v>391.39385044051079</v>
      </c>
      <c r="W49" s="108">
        <f>SUM('Pago Cuota MC 2025'!L46)</f>
        <v>500</v>
      </c>
      <c r="X49" s="119">
        <f>SUM(-V49,W49)+Tabla3[[#This Row],[Saldo16]]</f>
        <v>89.984939488584132</v>
      </c>
      <c r="Y49" s="122">
        <f>SUM('Ago 25'!L46)</f>
        <v>372.22779912696149</v>
      </c>
      <c r="Z49" s="108">
        <f>SUM('Pago Cuota MC 2025'!M46)</f>
        <v>500</v>
      </c>
      <c r="AA49" s="119">
        <f>SUM(-Y49,Z49)+Tabla3[[#This Row],[Saldo19]]</f>
        <v>217.75714036162265</v>
      </c>
      <c r="AB49" s="122">
        <f>SUM('Sep 25'!L46)</f>
        <v>384.88043608832805</v>
      </c>
      <c r="AC49" s="108">
        <f>SUM('Pago Cuota MC 2025'!N46)</f>
        <v>0</v>
      </c>
      <c r="AD49" s="119">
        <f>SUM(-AB49,AC49)+Tabla3[[#This Row],[Saldo22]]</f>
        <v>-167.12329572670541</v>
      </c>
      <c r="AE49" s="122">
        <f>SUM('Oct 25'!L46)</f>
        <v>381.00093448658771</v>
      </c>
      <c r="AF49" s="108">
        <f>SUM('Pago Cuota MC 2025'!O46)</f>
        <v>500</v>
      </c>
      <c r="AG49" s="145">
        <f>SUM(-AE49,AF49)+Tabla3[[#This Row],[Saldo25]]</f>
        <v>-48.124230213293117</v>
      </c>
      <c r="AH49" s="122">
        <f>SUM('Nov 25'!L46)</f>
        <v>409.89127376506866</v>
      </c>
      <c r="AI49" s="108">
        <f>SUM('Pago Cuota MC 2025'!P46)</f>
        <v>500</v>
      </c>
      <c r="AJ49" s="119">
        <f>SUM(-AH49,AI49)+Tabla3[[#This Row],[Saldo28]]</f>
        <v>41.984496021638222</v>
      </c>
      <c r="AK49" s="122">
        <f>SUM('Dic 25'!L46)</f>
        <v>393.3494729639358</v>
      </c>
      <c r="AL49" s="108">
        <f>SUM('Pago Cuota MC 2025'!Q46)</f>
        <v>0</v>
      </c>
      <c r="AM49" s="145">
        <f>SUM(-AK49,AL49)+Tabla3[[#This Row],[Saldo31]]</f>
        <v>-351.36497694229757</v>
      </c>
      <c r="AN49" s="128">
        <f t="shared" si="3"/>
        <v>-351.36497694229757</v>
      </c>
      <c r="AO49" s="29"/>
      <c r="AP49" s="106">
        <f>SUM(Tabla3[[#This Row],[Saldo Anual]])</f>
        <v>-351.36497694229757</v>
      </c>
    </row>
    <row r="50" spans="1:43" ht="16.149999999999999" thickBot="1" x14ac:dyDescent="0.5">
      <c r="A50" s="313"/>
      <c r="B50" s="16" t="s">
        <v>5</v>
      </c>
      <c r="C50" s="116">
        <v>201</v>
      </c>
      <c r="D50" s="118">
        <f>SUM('Ene 25'!L47)-('Pago Cuota MC 2024'!F47)</f>
        <v>358.98104892111877</v>
      </c>
      <c r="E50" s="108">
        <f>SUM('Pago Cuota MC 2025'!F47)</f>
        <v>358.98</v>
      </c>
      <c r="F50" s="119">
        <f t="shared" si="2"/>
        <v>-1.0489211187518777E-3</v>
      </c>
      <c r="G50" s="118">
        <f>SUM('Feb 25'!L47)</f>
        <v>406.84268083879238</v>
      </c>
      <c r="H50" s="108">
        <f>SUM('Pago Cuota MC 2025'!G47)</f>
        <v>406.84</v>
      </c>
      <c r="I50" s="119">
        <f>SUM(-G50,H50)+Tabla3[[#This Row],[Saldo]]</f>
        <v>-3.7297599111525415E-3</v>
      </c>
      <c r="J50" s="118">
        <f>SUM('Mar 25'!L47)</f>
        <v>470.58420191384943</v>
      </c>
      <c r="K50" s="108">
        <f>SUM('Pago Cuota MC 2025'!H47)</f>
        <v>470.59</v>
      </c>
      <c r="L50" s="119">
        <f>SUM(-J50,K50)+Tabla3[[#This Row],[Saldo4]]</f>
        <v>2.0683262393959012E-3</v>
      </c>
      <c r="M50" s="122">
        <f>SUM('Abr 25'!L47)</f>
        <v>459.34697883926833</v>
      </c>
      <c r="N50" s="108">
        <f>SUM('Pago Cuota MC 2025'!I47)</f>
        <v>459.34</v>
      </c>
      <c r="O50" s="119">
        <f>SUM(-M50,N50)+Tabla3[[#This Row],[Saldo7]]</f>
        <v>-4.9105130289603949E-3</v>
      </c>
      <c r="P50" s="122">
        <f>SUM('May 25'!L47)</f>
        <v>454.88890603174605</v>
      </c>
      <c r="Q50" s="108">
        <f>SUM('Pago Cuota MC 2025'!J47)</f>
        <v>454.89</v>
      </c>
      <c r="R50" s="119">
        <f>SUM(-P50,Q50)+Tabla3[[#This Row],[Saldo13]]</f>
        <v>-3.8165447750202475E-3</v>
      </c>
      <c r="S50" s="122">
        <f>SUM('Jun 25'!L47)</f>
        <v>431.94905391384259</v>
      </c>
      <c r="T50" s="108">
        <f>SUM('Pago Cuota MC 2025'!K47)</f>
        <v>432</v>
      </c>
      <c r="U50" s="119">
        <f>SUM(-S50,T50)+Tabla3[[#This Row],[Saldo132]]</f>
        <v>4.7129541382389561E-2</v>
      </c>
      <c r="V50" s="122">
        <f>SUM('Jul 25'!L47)</f>
        <v>402.57394687209268</v>
      </c>
      <c r="W50" s="108">
        <f>SUM('Pago Cuota MC 2025'!L47)</f>
        <v>402.53</v>
      </c>
      <c r="X50" s="119">
        <f>SUM(-V50,W50)+Tabla3[[#This Row],[Saldo16]]</f>
        <v>3.1826692896856912E-3</v>
      </c>
      <c r="Y50" s="122">
        <f>SUM('Ago 25'!L47)</f>
        <v>395.37609698716119</v>
      </c>
      <c r="Z50" s="108">
        <f>SUM('Pago Cuota MC 2025'!M47)</f>
        <v>395.37</v>
      </c>
      <c r="AA50" s="119">
        <f>SUM(-Y50,Z50)+Tabla3[[#This Row],[Saldo19]]</f>
        <v>-2.914317871500316E-3</v>
      </c>
      <c r="AB50" s="122">
        <f>SUM('Sep 25'!L47)</f>
        <v>465.87941400630916</v>
      </c>
      <c r="AC50" s="108">
        <f>SUM('Pago Cuota MC 2025'!N47)</f>
        <v>465.88</v>
      </c>
      <c r="AD50" s="119">
        <f>SUM(-AB50,AC50)+Tabla3[[#This Row],[Saldo22]]</f>
        <v>-2.328324180666641E-3</v>
      </c>
      <c r="AE50" s="122">
        <f>SUM('Oct 25'!L47)</f>
        <v>461.63733815907415</v>
      </c>
      <c r="AF50" s="108">
        <f>SUM('Pago Cuota MC 2025'!O47)</f>
        <v>461.64</v>
      </c>
      <c r="AG50" s="145">
        <f>SUM(-AE50,AF50)+Tabla3[[#This Row],[Saldo25]]</f>
        <v>3.3351674517234642E-4</v>
      </c>
      <c r="AH50" s="122">
        <f>SUM('Nov 25'!L47)</f>
        <v>453.65653659097279</v>
      </c>
      <c r="AI50" s="108">
        <f>SUM('Pago Cuota MC 2025'!P47)</f>
        <v>453.66</v>
      </c>
      <c r="AJ50" s="119">
        <f>SUM(-AH50,AI50)+Tabla3[[#This Row],[Saldo28]]</f>
        <v>3.796925772405757E-3</v>
      </c>
      <c r="AK50" s="122">
        <f>SUM('Dic 25'!L47)</f>
        <v>464.70217138804412</v>
      </c>
      <c r="AL50" s="108">
        <f>SUM('Pago Cuota MC 2025'!Q47)</f>
        <v>464.7</v>
      </c>
      <c r="AM50" s="145">
        <f>SUM(-AK50,AL50)+Tabla3[[#This Row],[Saldo31]]</f>
        <v>1.6255377282732297E-3</v>
      </c>
      <c r="AN50" s="128">
        <f t="shared" si="3"/>
        <v>1.6255377282732297E-3</v>
      </c>
      <c r="AO50" s="29"/>
      <c r="AP50" s="106" t="s">
        <v>12</v>
      </c>
    </row>
    <row r="51" spans="1:43" ht="16.149999999999999" thickBot="1" x14ac:dyDescent="0.5">
      <c r="A51" s="313"/>
      <c r="B51" s="16" t="s">
        <v>5</v>
      </c>
      <c r="C51" s="116">
        <v>202</v>
      </c>
      <c r="D51" s="118">
        <f>SUM('Ene 25'!L48)-('Pago Cuota MC 2024'!F48)</f>
        <v>64.879790144855349</v>
      </c>
      <c r="E51" s="108">
        <f>SUM('Pago Cuota MC 2025'!F48)</f>
        <v>100</v>
      </c>
      <c r="F51" s="119">
        <f t="shared" si="2"/>
        <v>35.120209855144651</v>
      </c>
      <c r="G51" s="118">
        <f>SUM('Feb 25'!L48)</f>
        <v>450.23379462403875</v>
      </c>
      <c r="H51" s="108">
        <f>SUM('Pago Cuota MC 2025'!G48)</f>
        <v>0</v>
      </c>
      <c r="I51" s="119">
        <f>SUM(-G51,H51)+Tabla3[[#This Row],[Saldo]]</f>
        <v>-415.1135847688941</v>
      </c>
      <c r="J51" s="118">
        <f>SUM('Mar 25'!L48)</f>
        <v>434.75103991821152</v>
      </c>
      <c r="K51" s="108">
        <f>SUM('Pago Cuota MC 2025'!H48)</f>
        <v>0</v>
      </c>
      <c r="L51" s="119">
        <f>SUM(-J51,K51)+Tabla3[[#This Row],[Saldo4]]</f>
        <v>-849.86462468710556</v>
      </c>
      <c r="M51" s="122">
        <f>SUM('Abr 25'!L48)</f>
        <v>474.4461762122981</v>
      </c>
      <c r="N51" s="108">
        <f>SUM('Pago Cuota MC 2025'!I48)</f>
        <v>1200</v>
      </c>
      <c r="O51" s="119">
        <f>SUM(-M51,N51)+Tabla3[[#This Row],[Saldo7]]</f>
        <v>-124.3108008994036</v>
      </c>
      <c r="P51" s="122">
        <f>SUM('May 25'!L48)</f>
        <v>455.72434769841271</v>
      </c>
      <c r="Q51" s="108">
        <f>SUM('Pago Cuota MC 2025'!J48)</f>
        <v>500</v>
      </c>
      <c r="R51" s="119">
        <f>SUM(-P51,Q51)+Tabla3[[#This Row],[Saldo13]]</f>
        <v>-80.035148597816317</v>
      </c>
      <c r="S51" s="122">
        <f>SUM('Jun 25'!L48)</f>
        <v>450.00269756634395</v>
      </c>
      <c r="T51" s="108">
        <f>SUM('Pago Cuota MC 2025'!K48)</f>
        <v>400</v>
      </c>
      <c r="U51" s="119">
        <f>SUM(-S51,T51)+Tabla3[[#This Row],[Saldo132]]</f>
        <v>-130.03784616416027</v>
      </c>
      <c r="V51" s="122">
        <f>SUM('Jul 25'!L48)</f>
        <v>448.63877407074403</v>
      </c>
      <c r="W51" s="108">
        <f>SUM('Pago Cuota MC 2025'!L48)</f>
        <v>0</v>
      </c>
      <c r="X51" s="119">
        <f>SUM(-V51,W51)+Tabla3[[#This Row],[Saldo16]]</f>
        <v>-578.67662023490425</v>
      </c>
      <c r="Y51" s="122">
        <f>SUM('Ago 25'!L48)</f>
        <v>441.50064454778885</v>
      </c>
      <c r="Z51" s="108">
        <f>SUM('Pago Cuota MC 2025'!M48)</f>
        <v>1030.18</v>
      </c>
      <c r="AA51" s="119">
        <f>SUM(-Y51,Z51)+Tabla3[[#This Row],[Saldo19]]</f>
        <v>10.002735217306963</v>
      </c>
      <c r="AB51" s="122">
        <f>SUM('Sep 25'!L48)</f>
        <v>441.73313514195581</v>
      </c>
      <c r="AC51" s="108">
        <f>SUM('Pago Cuota MC 2025'!N48)</f>
        <v>431</v>
      </c>
      <c r="AD51" s="119">
        <f>SUM(-AB51,AC51)+Tabla3[[#This Row],[Saldo22]]</f>
        <v>-0.73039992464885017</v>
      </c>
      <c r="AE51" s="122">
        <f>SUM('Oct 25'!L48)</f>
        <v>437.59914484179546</v>
      </c>
      <c r="AF51" s="108">
        <f>SUM('Pago Cuota MC 2025'!O48)</f>
        <v>425</v>
      </c>
      <c r="AG51" s="145">
        <f>SUM(-AE51,AF51)+Tabla3[[#This Row],[Saldo25]]</f>
        <v>-13.329544766444315</v>
      </c>
      <c r="AH51" s="122">
        <f>SUM('Nov 25'!L48)</f>
        <v>453.33499588449672</v>
      </c>
      <c r="AI51" s="108">
        <f>SUM('Pago Cuota MC 2025'!P48)</f>
        <v>0</v>
      </c>
      <c r="AJ51" s="119">
        <f>SUM(-AH51,AI51)+Tabla3[[#This Row],[Saldo28]]</f>
        <v>-466.66454065094103</v>
      </c>
      <c r="AK51" s="122">
        <f>SUM('Dic 25'!L48)</f>
        <v>438.38413301370076</v>
      </c>
      <c r="AL51" s="108">
        <f>SUM('Pago Cuota MC 2025'!Q48)</f>
        <v>0</v>
      </c>
      <c r="AM51" s="145">
        <f>SUM(-AK51,AL51)+Tabla3[[#This Row],[Saldo31]]</f>
        <v>-905.0486736646418</v>
      </c>
      <c r="AN51" s="128">
        <f t="shared" si="3"/>
        <v>-905.0486736646418</v>
      </c>
      <c r="AO51" s="29"/>
      <c r="AP51" s="106">
        <f>SUM(Tabla3[[#This Row],[Saldo Anual]])</f>
        <v>-905.0486736646418</v>
      </c>
      <c r="AQ51" t="s">
        <v>12</v>
      </c>
    </row>
    <row r="52" spans="1:43" ht="16.149999999999999" thickBot="1" x14ac:dyDescent="0.5">
      <c r="A52" s="313"/>
      <c r="B52" s="16" t="s">
        <v>5</v>
      </c>
      <c r="C52" s="116">
        <v>203</v>
      </c>
      <c r="D52" s="118">
        <f>SUM('Ene 25'!L49)-('Pago Cuota MC 2024'!F49)</f>
        <v>340.20585417363566</v>
      </c>
      <c r="E52" s="108">
        <f>SUM('Pago Cuota MC 2025'!F49)</f>
        <v>340.21</v>
      </c>
      <c r="F52" s="119">
        <f t="shared" si="2"/>
        <v>4.1458263643221471E-3</v>
      </c>
      <c r="G52" s="118">
        <f>SUM('Feb 25'!L49)</f>
        <v>365.42737622472231</v>
      </c>
      <c r="H52" s="108">
        <f>SUM('Pago Cuota MC 2025'!G49)</f>
        <v>365.42</v>
      </c>
      <c r="I52" s="119">
        <f>SUM(-G52,H52)+Tabla3[[#This Row],[Saldo]]</f>
        <v>-3.2303983579708984E-3</v>
      </c>
      <c r="J52" s="118">
        <f>SUM('Mar 25'!L49)</f>
        <v>383.15535027808062</v>
      </c>
      <c r="K52" s="108">
        <f>SUM('Pago Cuota MC 2025'!H49)</f>
        <v>383.16</v>
      </c>
      <c r="L52" s="119">
        <f>SUM(-J52,K52)+Tabla3[[#This Row],[Saldo4]]</f>
        <v>1.4193235614357036E-3</v>
      </c>
      <c r="M52" s="122">
        <f>SUM('Abr 25'!L49)</f>
        <v>384.28223920120644</v>
      </c>
      <c r="N52" s="108">
        <f>SUM('Pago Cuota MC 2025'!I49)</f>
        <v>384.28</v>
      </c>
      <c r="O52" s="119">
        <f>SUM(-M52,N52)+Tabla3[[#This Row],[Saldo7]]</f>
        <v>-8.1987764502855498E-4</v>
      </c>
      <c r="P52" s="122">
        <f>SUM('May 25'!L49)</f>
        <v>389.91376793650795</v>
      </c>
      <c r="Q52" s="108">
        <f>SUM('Pago Cuota MC 2025'!J49)</f>
        <v>389.91</v>
      </c>
      <c r="R52" s="119">
        <f>SUM(-P52,Q52)+Tabla3[[#This Row],[Saldo13]]</f>
        <v>-4.587814152955616E-3</v>
      </c>
      <c r="S52" s="122">
        <f>SUM('Jun 25'!L49)</f>
        <v>404.40899947597273</v>
      </c>
      <c r="T52" s="108">
        <f>SUM('Pago Cuota MC 2025'!K49)</f>
        <v>404.41</v>
      </c>
      <c r="U52" s="119">
        <f>SUM(-S52,T52)+Tabla3[[#This Row],[Saldo132]]</f>
        <v>-3.5872901256652767E-3</v>
      </c>
      <c r="V52" s="122">
        <f>SUM('Jul 25'!L49)</f>
        <v>379.2650922500078</v>
      </c>
      <c r="W52" s="108">
        <f>SUM('Pago Cuota MC 2025'!L49)</f>
        <v>379.27</v>
      </c>
      <c r="X52" s="119">
        <f>SUM(-V52,W52)+Tabla3[[#This Row],[Saldo16]]</f>
        <v>1.3204598665197409E-3</v>
      </c>
      <c r="Y52" s="122">
        <f>SUM('Ago 25'!L49)</f>
        <v>367.51211547503567</v>
      </c>
      <c r="Z52" s="108">
        <f>SUM('Pago Cuota MC 2025'!M49)</f>
        <v>367.51</v>
      </c>
      <c r="AA52" s="119">
        <f>SUM(-Y52,Z52)+Tabla3[[#This Row],[Saldo19]]</f>
        <v>-7.9501516916025139E-4</v>
      </c>
      <c r="AB52" s="122">
        <f>SUM('Sep 25'!L49)</f>
        <v>375.09297867507883</v>
      </c>
      <c r="AC52" s="108">
        <f>SUM('Pago Cuota MC 2025'!N49)</f>
        <v>375.09</v>
      </c>
      <c r="AD52" s="119">
        <f>SUM(-AB52,AC52)+Tabla3[[#This Row],[Saldo22]]</f>
        <v>-3.7736902480105528E-3</v>
      </c>
      <c r="AE52" s="122">
        <f>SUM('Oct 25'!L49)</f>
        <v>371.25728849019998</v>
      </c>
      <c r="AF52" s="108">
        <f>SUM('Pago Cuota MC 2025'!O49)</f>
        <v>371.26</v>
      </c>
      <c r="AG52" s="145">
        <f>SUM(-AE52,AF52)+Tabla3[[#This Row],[Saldo25]]</f>
        <v>-1.0621804480024366E-3</v>
      </c>
      <c r="AH52" s="122">
        <f>SUM('Nov 25'!L49)</f>
        <v>374.99021337818897</v>
      </c>
      <c r="AI52" s="108">
        <f>SUM('Pago Cuota MC 2025'!P49)</f>
        <v>374.99</v>
      </c>
      <c r="AJ52" s="119">
        <f>SUM(-AH52,AI52)+Tabla3[[#This Row],[Saldo28]]</f>
        <v>-1.2755586369621597E-3</v>
      </c>
      <c r="AK52" s="122">
        <f>SUM('Dic 25'!L49)</f>
        <v>370.71816099268887</v>
      </c>
      <c r="AL52" s="108">
        <f>SUM('Pago Cuota MC 2025'!Q49)</f>
        <v>370.72</v>
      </c>
      <c r="AM52" s="145">
        <f>SUM(-AK52,AL52)+Tabla3[[#This Row],[Saldo31]]</f>
        <v>5.6344867419966249E-4</v>
      </c>
      <c r="AN52" s="128">
        <f t="shared" si="3"/>
        <v>5.6344867419966249E-4</v>
      </c>
      <c r="AO52" s="29"/>
      <c r="AP52" s="106" t="s">
        <v>12</v>
      </c>
    </row>
    <row r="53" spans="1:43" ht="16.149999999999999" thickBot="1" x14ac:dyDescent="0.5">
      <c r="A53" s="313"/>
      <c r="B53" s="16" t="s">
        <v>5</v>
      </c>
      <c r="C53" s="116">
        <v>204</v>
      </c>
      <c r="D53" s="118">
        <f>SUM('Ene 25'!L50)-('Pago Cuota MC 2024'!F50)</f>
        <v>324.14723255837532</v>
      </c>
      <c r="E53" s="108">
        <f>SUM('Pago Cuota MC 2025'!F50)</f>
        <v>324.14999999999998</v>
      </c>
      <c r="F53" s="119">
        <f t="shared" si="2"/>
        <v>2.7674416246554756E-3</v>
      </c>
      <c r="G53" s="118">
        <f>SUM('Feb 25'!L50)</f>
        <v>372.78679490885793</v>
      </c>
      <c r="H53" s="108">
        <f>SUM('Pago Cuota MC 2025'!G50)</f>
        <v>0</v>
      </c>
      <c r="I53" s="119">
        <f>SUM(-G53,H53)+Tabla3[[#This Row],[Saldo]]</f>
        <v>-372.78402746723327</v>
      </c>
      <c r="J53" s="118">
        <f>SUM('Mar 25'!L50)</f>
        <v>384.39865693020715</v>
      </c>
      <c r="K53" s="108">
        <f>SUM('Pago Cuota MC 2025'!H50)</f>
        <v>757.18</v>
      </c>
      <c r="L53" s="119">
        <f>SUM(-J53,K53)+Tabla3[[#This Row],[Saldo4]]</f>
        <v>-2.68439744047555E-3</v>
      </c>
      <c r="M53" s="122">
        <f>SUM('Abr 25'!L50)</f>
        <v>376.94248540669389</v>
      </c>
      <c r="N53" s="108">
        <f>SUM('Pago Cuota MC 2025'!I50)</f>
        <v>0</v>
      </c>
      <c r="O53" s="119">
        <f>SUM(-M53,N53)+Tabla3[[#This Row],[Saldo7]]</f>
        <v>-376.94516980413437</v>
      </c>
      <c r="P53" s="122">
        <f>SUM('May 25'!L50)</f>
        <v>378.67851793650794</v>
      </c>
      <c r="Q53" s="108">
        <f>SUM('Pago Cuota MC 2025'!J50)</f>
        <v>755.62</v>
      </c>
      <c r="R53" s="119">
        <f>SUM(-P53,Q53)+Tabla3[[#This Row],[Saldo13]]</f>
        <v>-3.6877406423059256E-3</v>
      </c>
      <c r="S53" s="122">
        <f>SUM('Jun 25'!L50)</f>
        <v>368.35973374170703</v>
      </c>
      <c r="T53" s="108">
        <f>SUM('Pago Cuota MC 2025'!K50)</f>
        <v>0</v>
      </c>
      <c r="U53" s="119">
        <f>SUM(-S53,T53)+Tabla3[[#This Row],[Saldo132]]</f>
        <v>-368.36342148234934</v>
      </c>
      <c r="V53" s="122">
        <f>SUM('Jul 25'!L50)</f>
        <v>365.21549000218539</v>
      </c>
      <c r="W53" s="108">
        <f>SUM('Pago Cuota MC 2025'!L50)</f>
        <v>733.58</v>
      </c>
      <c r="X53" s="119">
        <f>SUM(-V53,W53)+Tabla3[[#This Row],[Saldo16]]</f>
        <v>1.0885154653124118E-3</v>
      </c>
      <c r="Y53" s="122">
        <f>SUM('Ago 25'!L50)</f>
        <v>368.01261921255349</v>
      </c>
      <c r="Z53" s="108">
        <f>SUM('Pago Cuota MC 2025'!M50)</f>
        <v>0</v>
      </c>
      <c r="AA53" s="119">
        <f>SUM(-Y53,Z53)+Tabla3[[#This Row],[Saldo19]]</f>
        <v>-368.01153069708818</v>
      </c>
      <c r="AB53" s="122">
        <f>SUM('Sep 25'!L50)</f>
        <v>428.25596164037853</v>
      </c>
      <c r="AC53" s="108">
        <f>SUM('Pago Cuota MC 2025'!N50)</f>
        <v>0</v>
      </c>
      <c r="AD53" s="119">
        <f>SUM(-AB53,AC53)+Tabla3[[#This Row],[Saldo22]]</f>
        <v>-796.26749233746671</v>
      </c>
      <c r="AE53" s="122">
        <f>SUM('Oct 25'!L50)</f>
        <v>434.1822989658171</v>
      </c>
      <c r="AF53" s="108">
        <f>SUM('Pago Cuota MC 2025'!O50)</f>
        <v>1230.45</v>
      </c>
      <c r="AG53" s="145">
        <f>SUM(-AE53,AF53)+Tabla3[[#This Row],[Saldo25]]</f>
        <v>2.0869671618584107E-4</v>
      </c>
      <c r="AH53" s="122">
        <f>SUM('Nov 25'!L50)</f>
        <v>363.46238360527053</v>
      </c>
      <c r="AI53" s="108">
        <f>SUM('Pago Cuota MC 2025'!P50)</f>
        <v>363.46</v>
      </c>
      <c r="AJ53" s="119">
        <f>SUM(-AH53,AI53)+Tabla3[[#This Row],[Saldo28]]</f>
        <v>-2.174908554366084E-3</v>
      </c>
      <c r="AK53" s="122">
        <f>SUM('Dic 25'!L50)</f>
        <v>367.90005562912791</v>
      </c>
      <c r="AL53" s="108">
        <f>SUM('Pago Cuota MC 2025'!Q50)</f>
        <v>367.9</v>
      </c>
      <c r="AM53" s="145">
        <f>SUM(-AK53,AL53)+Tabla3[[#This Row],[Saldo31]]</f>
        <v>-2.230537682294198E-3</v>
      </c>
      <c r="AN53" s="128">
        <f t="shared" si="3"/>
        <v>-2.230537682294198E-3</v>
      </c>
      <c r="AO53" s="29"/>
      <c r="AP53" s="106" t="s">
        <v>12</v>
      </c>
    </row>
    <row r="54" spans="1:43" ht="16.149999999999999" thickBot="1" x14ac:dyDescent="0.5">
      <c r="A54" s="313"/>
      <c r="B54" s="16" t="s">
        <v>5</v>
      </c>
      <c r="C54" s="116">
        <v>301</v>
      </c>
      <c r="D54" s="118">
        <f>SUM('Ene 25'!L51)-('Pago Cuota MC 2024'!F51)</f>
        <v>323.54498255197007</v>
      </c>
      <c r="E54" s="108">
        <f>SUM('Pago Cuota MC 2025'!F51)</f>
        <v>323.54000000000002</v>
      </c>
      <c r="F54" s="119">
        <f t="shared" si="2"/>
        <v>-4.982551970044824E-3</v>
      </c>
      <c r="G54" s="118">
        <f>SUM('Feb 25'!L51)</f>
        <v>379.97415492025067</v>
      </c>
      <c r="H54" s="108">
        <f>SUM('Pago Cuota MC 2025'!G51)</f>
        <v>379.98</v>
      </c>
      <c r="I54" s="119">
        <f>SUM(-G54,H54)+Tabla3[[#This Row],[Saldo]]</f>
        <v>8.6252777930440061E-4</v>
      </c>
      <c r="J54" s="118">
        <f>SUM('Mar 25'!L51)</f>
        <v>361.62568571973821</v>
      </c>
      <c r="K54" s="108">
        <f>SUM('Pago Cuota MC 2025'!H51)</f>
        <v>361.62</v>
      </c>
      <c r="L54" s="119">
        <f>SUM(-J54,K54)+Tabla3[[#This Row],[Saldo4]]</f>
        <v>-4.8231919589056815E-3</v>
      </c>
      <c r="M54" s="122">
        <f>SUM('Abr 25'!L51)</f>
        <v>363.02338444347146</v>
      </c>
      <c r="N54" s="108">
        <f>SUM('Pago Cuota MC 2025'!I51)</f>
        <v>363.03</v>
      </c>
      <c r="O54" s="119">
        <f>SUM(-M54,N54)+Tabla3[[#This Row],[Saldo7]]</f>
        <v>1.7923645696100721E-3</v>
      </c>
      <c r="P54" s="122">
        <f>SUM('May 25'!L51)</f>
        <v>384.59657269841273</v>
      </c>
      <c r="Q54" s="108">
        <f>SUM('Pago Cuota MC 2025'!J51)</f>
        <v>385</v>
      </c>
      <c r="R54" s="119">
        <f>SUM(-P54,Q54)+Tabla3[[#This Row],[Saldo13]]</f>
        <v>0.40521966615688143</v>
      </c>
      <c r="S54" s="122">
        <f>SUM('Jun 25'!L51)</f>
        <v>359.73564016989422</v>
      </c>
      <c r="T54" s="108">
        <f>SUM('Pago Cuota MC 2025'!K51)</f>
        <v>359.33</v>
      </c>
      <c r="U54" s="119">
        <f>SUM(-S54,T54)+Tabla3[[#This Row],[Saldo132]]</f>
        <v>-4.2050373735946778E-4</v>
      </c>
      <c r="V54" s="122">
        <f>SUM('Jul 25'!L51)</f>
        <v>359.96648960881646</v>
      </c>
      <c r="W54" s="108">
        <f>SUM('Pago Cuota MC 2025'!L51)</f>
        <v>360</v>
      </c>
      <c r="X54" s="119">
        <f>SUM(-V54,W54)+Tabla3[[#This Row],[Saldo16]]</f>
        <v>3.308988744618091E-2</v>
      </c>
      <c r="Y54" s="122">
        <f>SUM('Ago 25'!L51)</f>
        <v>361.56863359201145</v>
      </c>
      <c r="Z54" s="108">
        <f>SUM('Pago Cuota MC 2025'!M51)</f>
        <v>361.54</v>
      </c>
      <c r="AA54" s="119">
        <f>SUM(-Y54,Z54)+Tabla3[[#This Row],[Saldo19]]</f>
        <v>4.4562954347497907E-3</v>
      </c>
      <c r="AB54" s="122">
        <f>SUM('Sep 25'!L51)</f>
        <v>372.89080075709779</v>
      </c>
      <c r="AC54" s="108">
        <f>SUM('Pago Cuota MC 2025'!N51)</f>
        <v>372.89</v>
      </c>
      <c r="AD54" s="119">
        <f>SUM(-AB54,AC54)+Tabla3[[#This Row],[Saldo22]]</f>
        <v>3.6555383369432093E-3</v>
      </c>
      <c r="AE54" s="122">
        <f>SUM('Oct 25'!L51)</f>
        <v>369.06496814101274</v>
      </c>
      <c r="AF54" s="108">
        <f>SUM('Pago Cuota MC 2025'!O51)</f>
        <v>369.06</v>
      </c>
      <c r="AG54" s="145">
        <f>SUM(-AE54,AF54)+Tabla3[[#This Row],[Saldo25]]</f>
        <v>-1.3126026757959153E-3</v>
      </c>
      <c r="AH54" s="122">
        <f>SUM('Nov 25'!L51)</f>
        <v>362.51364003924868</v>
      </c>
      <c r="AI54" s="108">
        <f>SUM('Pago Cuota MC 2025'!P51)</f>
        <v>362.51</v>
      </c>
      <c r="AJ54" s="119">
        <f>SUM(-AH54,AI54)+Tabla3[[#This Row],[Saldo28]]</f>
        <v>-4.9526419244898534E-3</v>
      </c>
      <c r="AK54" s="122">
        <f>SUM('Dic 25'!L51)</f>
        <v>355.44064976791697</v>
      </c>
      <c r="AL54" s="108">
        <f>SUM('Pago Cuota MC 2025'!Q51)</f>
        <v>356</v>
      </c>
      <c r="AM54" s="145">
        <f>SUM(-AK54,AL54)+Tabla3[[#This Row],[Saldo31]]</f>
        <v>0.55439759015854406</v>
      </c>
      <c r="AN54" s="128">
        <f t="shared" si="3"/>
        <v>0.55439759015854406</v>
      </c>
      <c r="AO54" s="29"/>
      <c r="AP54" s="106" t="s">
        <v>12</v>
      </c>
    </row>
    <row r="55" spans="1:43" ht="16.149999999999999" thickBot="1" x14ac:dyDescent="0.5">
      <c r="A55" s="313"/>
      <c r="B55" s="16" t="s">
        <v>5</v>
      </c>
      <c r="C55" s="116">
        <v>302</v>
      </c>
      <c r="D55" s="118">
        <f>SUM('Ene 25'!L52)-('Pago Cuota MC 2024'!F52)</f>
        <v>335.82545571321805</v>
      </c>
      <c r="E55" s="108">
        <f>SUM('Pago Cuota MC 2025'!F52)</f>
        <v>335.82</v>
      </c>
      <c r="F55" s="119">
        <f t="shared" si="2"/>
        <v>-5.4557132180548251E-3</v>
      </c>
      <c r="G55" s="118">
        <f>SUM('Feb 25'!L52)</f>
        <v>386.00011889062944</v>
      </c>
      <c r="H55" s="108">
        <f>SUM('Pago Cuota MC 2025'!G52)</f>
        <v>0</v>
      </c>
      <c r="I55" s="119">
        <f>SUM(-G55,H55)+Tabla3[[#This Row],[Saldo]]</f>
        <v>-386.00557460384749</v>
      </c>
      <c r="J55" s="118">
        <f>SUM('Mar 25'!L52)</f>
        <v>416.49489160850595</v>
      </c>
      <c r="K55" s="108">
        <f>SUM('Pago Cuota MC 2025'!H52)</f>
        <v>0</v>
      </c>
      <c r="L55" s="119">
        <f>SUM(-J55,K55)+Tabla3[[#This Row],[Saldo4]]</f>
        <v>-802.50046621235344</v>
      </c>
      <c r="M55" s="122">
        <f>SUM('Abr 25'!L52)</f>
        <v>412.90610201498345</v>
      </c>
      <c r="N55" s="108">
        <f>SUM('Pago Cuota MC 2025'!I52)</f>
        <v>0</v>
      </c>
      <c r="O55" s="119">
        <f>SUM(-M55,N55)+Tabla3[[#This Row],[Saldo7]]</f>
        <v>-1215.4065682273369</v>
      </c>
      <c r="P55" s="122">
        <f>SUM('May 25'!L52)</f>
        <v>395.66308817460322</v>
      </c>
      <c r="Q55" s="108">
        <f>SUM('Pago Cuota MC 2025'!J52)</f>
        <v>1611.07</v>
      </c>
      <c r="R55" s="119">
        <f>SUM(-P55,Q55)+Tabla3[[#This Row],[Saldo13]]</f>
        <v>3.4359805977146607E-4</v>
      </c>
      <c r="S55" s="122">
        <f>SUM('Jun 25'!L52)</f>
        <v>389.13361830329927</v>
      </c>
      <c r="T55" s="108">
        <f>SUM('Pago Cuota MC 2025'!K52)</f>
        <v>389.13</v>
      </c>
      <c r="U55" s="119">
        <f>SUM(-S55,T55)+Tabla3[[#This Row],[Saldo132]]</f>
        <v>-3.2747052395052378E-3</v>
      </c>
      <c r="V55" s="122">
        <f>SUM('Jul 25'!L52)</f>
        <v>383.77711573975216</v>
      </c>
      <c r="W55" s="108">
        <f>SUM('Pago Cuota MC 2025'!L52)</f>
        <v>383.78</v>
      </c>
      <c r="X55" s="119">
        <f>SUM(-V55,W55)+Tabla3[[#This Row],[Saldo16]]</f>
        <v>-3.9044499169449409E-4</v>
      </c>
      <c r="Y55" s="122">
        <f>SUM('Ago 25'!L52)</f>
        <v>390.24984386305277</v>
      </c>
      <c r="Z55" s="108">
        <f>SUM('Pago Cuota MC 2025'!M52)</f>
        <v>390.25</v>
      </c>
      <c r="AA55" s="119">
        <f>SUM(-Y55,Z55)+Tabla3[[#This Row],[Saldo19]]</f>
        <v>-2.3430804446888942E-4</v>
      </c>
      <c r="AB55" s="122">
        <f>SUM('Sep 25'!L52)</f>
        <v>397.91377110410093</v>
      </c>
      <c r="AC55" s="108">
        <f>SUM('Pago Cuota MC 2025'!N52)</f>
        <v>397.91</v>
      </c>
      <c r="AD55" s="119">
        <f>SUM(-AB55,AC55)+Tabla3[[#This Row],[Saldo22]]</f>
        <v>-4.0054121453749758E-3</v>
      </c>
      <c r="AE55" s="122">
        <f>SUM('Oct 25'!L52)</f>
        <v>394.02069144023011</v>
      </c>
      <c r="AF55" s="108">
        <f>SUM('Pago Cuota MC 2025'!O52)</f>
        <v>0</v>
      </c>
      <c r="AG55" s="145">
        <f>SUM(-AE55,AF55)+Tabla3[[#This Row],[Saldo25]]</f>
        <v>-394.02469685237548</v>
      </c>
      <c r="AH55" s="122">
        <f>SUM('Nov 25'!L52)</f>
        <v>403.92141867675917</v>
      </c>
      <c r="AI55" s="108">
        <f>SUM('Pago Cuota MC 2025'!P52)</f>
        <v>0</v>
      </c>
      <c r="AJ55" s="119">
        <f>SUM(-AH55,AI55)+Tabla3[[#This Row],[Saldo28]]</f>
        <v>-797.94611552913466</v>
      </c>
      <c r="AK55" s="122">
        <f>SUM('Dic 25'!L52)</f>
        <v>395.5947701992136</v>
      </c>
      <c r="AL55" s="108">
        <f>SUM('Pago Cuota MC 2025'!Q52)</f>
        <v>0</v>
      </c>
      <c r="AM55" s="145">
        <f>SUM(-AK55,AL55)+Tabla3[[#This Row],[Saldo31]]</f>
        <v>-1193.5408857283483</v>
      </c>
      <c r="AN55" s="128">
        <f t="shared" si="3"/>
        <v>-1193.5408857283483</v>
      </c>
      <c r="AO55" s="29"/>
      <c r="AP55" s="106">
        <f>SUM(Tabla3[[#This Row],[Saldo Anual]])</f>
        <v>-1193.5408857283483</v>
      </c>
    </row>
    <row r="56" spans="1:43" ht="16.149999999999999" thickBot="1" x14ac:dyDescent="0.5">
      <c r="A56" s="313"/>
      <c r="B56" s="16" t="s">
        <v>5</v>
      </c>
      <c r="C56" s="116">
        <v>303</v>
      </c>
      <c r="D56" s="118">
        <f>SUM('Ene 25'!L53)-('Pago Cuota MC 2024'!F53)</f>
        <v>321.27409703343778</v>
      </c>
      <c r="E56" s="108">
        <f>SUM('Pago Cuota MC 2025'!F53)</f>
        <v>322.3</v>
      </c>
      <c r="F56" s="119">
        <f t="shared" si="2"/>
        <v>1.0259029665622279</v>
      </c>
      <c r="G56" s="118">
        <f>SUM('Feb 25'!L53)</f>
        <v>350.26275047707207</v>
      </c>
      <c r="H56" s="108">
        <f>SUM('Pago Cuota MC 2025'!G53)</f>
        <v>350.26</v>
      </c>
      <c r="I56" s="119">
        <f>SUM(-G56,H56)+Tabla3[[#This Row],[Saldo]]</f>
        <v>1.023152489490144</v>
      </c>
      <c r="J56" s="118">
        <f>SUM('Mar 25'!L53)</f>
        <v>353.33959771537616</v>
      </c>
      <c r="K56" s="108">
        <f>SUM('Pago Cuota MC 2025'!H53)</f>
        <v>352</v>
      </c>
      <c r="L56" s="119">
        <f>SUM(-J56,K56)+Tabla3[[#This Row],[Saldo4]]</f>
        <v>-0.31644522588601376</v>
      </c>
      <c r="M56" s="122">
        <f>SUM('Abr 25'!L53)</f>
        <v>349.96634874586493</v>
      </c>
      <c r="N56" s="108">
        <f>SUM('Pago Cuota MC 2025'!I53)</f>
        <v>350</v>
      </c>
      <c r="O56" s="119">
        <f>SUM(-M56,N56)+Tabla3[[#This Row],[Saldo7]]</f>
        <v>-0.282793971750948</v>
      </c>
      <c r="P56" s="122">
        <f>SUM('May 25'!L53)</f>
        <v>381.18895841269841</v>
      </c>
      <c r="Q56" s="108">
        <f>SUM('Pago Cuota MC 2025'!J53)</f>
        <v>381.19</v>
      </c>
      <c r="R56" s="119">
        <f>SUM(-P56,Q56)+Tabla3[[#This Row],[Saldo13]]</f>
        <v>-0.28175238444936213</v>
      </c>
      <c r="S56" s="122">
        <f>SUM('Jun 25'!L53)</f>
        <v>372.35684463466021</v>
      </c>
      <c r="T56" s="108">
        <f>SUM('Pago Cuota MC 2025'!K53)</f>
        <v>373</v>
      </c>
      <c r="U56" s="119">
        <f>SUM(-S56,T56)+Tabla3[[#This Row],[Saldo132]]</f>
        <v>0.36140298089043199</v>
      </c>
      <c r="V56" s="122">
        <f>SUM('Jul 25'!L53)</f>
        <v>383.02837856638882</v>
      </c>
      <c r="W56" s="108">
        <f>SUM('Pago Cuota MC 2025'!L53)</f>
        <v>383</v>
      </c>
      <c r="X56" s="119">
        <f>SUM(-V56,W56)+Tabla3[[#This Row],[Saldo16]]</f>
        <v>0.33302441450160813</v>
      </c>
      <c r="Y56" s="122">
        <f>SUM('Ago 25'!L53)</f>
        <v>355.71508597432239</v>
      </c>
      <c r="Z56" s="108">
        <f>SUM('Pago Cuota MC 2025'!M53)</f>
        <v>355.4</v>
      </c>
      <c r="AA56" s="119">
        <f>SUM(-Y56,Z56)+Tabla3[[#This Row],[Saldo19]]</f>
        <v>1.7938440179193549E-2</v>
      </c>
      <c r="AB56" s="122">
        <f>SUM('Sep 25'!L53)</f>
        <v>351.47102788643531</v>
      </c>
      <c r="AC56" s="108">
        <f>SUM('Pago Cuota MC 2025'!N53)</f>
        <v>351.5</v>
      </c>
      <c r="AD56" s="119">
        <f>SUM(-AB56,AC56)+Tabla3[[#This Row],[Saldo22]]</f>
        <v>4.6910553743884975E-2</v>
      </c>
      <c r="AE56" s="122">
        <f>SUM('Oct 25'!L53)</f>
        <v>347.741076208442</v>
      </c>
      <c r="AF56" s="108">
        <f>SUM('Pago Cuota MC 2025'!O53)</f>
        <v>348</v>
      </c>
      <c r="AG56" s="145">
        <f>SUM(-AE56,AF56)+Tabla3[[#This Row],[Saldo25]]</f>
        <v>0.30583434530188924</v>
      </c>
      <c r="AH56" s="122">
        <f>SUM('Nov 25'!L53)</f>
        <v>359.93734474908888</v>
      </c>
      <c r="AI56" s="108">
        <f>SUM('Pago Cuota MC 2025'!P53)</f>
        <v>0</v>
      </c>
      <c r="AJ56" s="119">
        <f>SUM(-AH56,AI56)+Tabla3[[#This Row],[Saldo28]]</f>
        <v>-359.63151040378699</v>
      </c>
      <c r="AK56" s="122">
        <f>SUM('Dic 25'!L53)</f>
        <v>363.25534072727555</v>
      </c>
      <c r="AL56" s="108">
        <f>SUM('Pago Cuota MC 2025'!Q53)</f>
        <v>0</v>
      </c>
      <c r="AM56" s="145">
        <f>SUM(-AK56,AL56)+Tabla3[[#This Row],[Saldo31]]</f>
        <v>-722.88685113106249</v>
      </c>
      <c r="AN56" s="128">
        <f t="shared" si="3"/>
        <v>-722.88685113106249</v>
      </c>
      <c r="AO56" s="29"/>
      <c r="AP56" s="106">
        <f>SUM(Tabla3[[#This Row],[Saldo Anual]])</f>
        <v>-722.88685113106249</v>
      </c>
    </row>
    <row r="57" spans="1:43" ht="16.149999999999999" thickBot="1" x14ac:dyDescent="0.5">
      <c r="A57" s="313"/>
      <c r="B57" s="16" t="s">
        <v>5</v>
      </c>
      <c r="C57" s="116">
        <v>304</v>
      </c>
      <c r="D57" s="118">
        <f>SUM('Ene 25'!L54)-('Pago Cuota MC 2024'!F54)</f>
        <v>328.5729984325057</v>
      </c>
      <c r="E57" s="108">
        <f>SUM('Pago Cuota MC 2025'!F54)</f>
        <v>328.57</v>
      </c>
      <c r="F57" s="119">
        <f t="shared" si="2"/>
        <v>-2.9984325057057504E-3</v>
      </c>
      <c r="G57" s="118">
        <f>SUM('Feb 25'!L54)</f>
        <v>378.91442991313022</v>
      </c>
      <c r="H57" s="108">
        <f>SUM('Pago Cuota MC 2025'!G54)</f>
        <v>378.92</v>
      </c>
      <c r="I57" s="119">
        <f>SUM(-G57,H57)+Tabla3[[#This Row],[Saldo]]</f>
        <v>2.5716543640896816E-3</v>
      </c>
      <c r="J57" s="118">
        <f>SUM('Mar 25'!L54)</f>
        <v>363.39228282988</v>
      </c>
      <c r="K57" s="108">
        <f>SUM('Pago Cuota MC 2025'!H54)</f>
        <v>363.36</v>
      </c>
      <c r="L57" s="119">
        <f>SUM(-J57,K57)+Tabla3[[#This Row],[Saldo4]]</f>
        <v>-2.9711175515899413E-2</v>
      </c>
      <c r="M57" s="122">
        <f>SUM('Abr 25'!L54)</f>
        <v>371.25366792274758</v>
      </c>
      <c r="N57" s="108">
        <f>SUM('Pago Cuota MC 2025'!I54)</f>
        <v>371.28</v>
      </c>
      <c r="O57" s="119">
        <f>SUM(-M57,N57)+Tabla3[[#This Row],[Saldo7]]</f>
        <v>-3.3790982635082401E-3</v>
      </c>
      <c r="P57" s="122">
        <f>SUM('May 25'!L54)</f>
        <v>389.6709548412698</v>
      </c>
      <c r="Q57" s="108">
        <f>SUM('Pago Cuota MC 2025'!J54)</f>
        <v>389.67</v>
      </c>
      <c r="R57" s="119">
        <f>SUM(-P57,Q57)+Tabla3[[#This Row],[Saldo13]]</f>
        <v>-4.3339395332964159E-3</v>
      </c>
      <c r="S57" s="122">
        <f>SUM('Jun 25'!L54)</f>
        <v>373.4541684377802</v>
      </c>
      <c r="T57" s="108">
        <f>SUM('Pago Cuota MC 2025'!K54)</f>
        <v>373.46</v>
      </c>
      <c r="U57" s="119">
        <f>SUM(-S57,T57)+Tabla3[[#This Row],[Saldo132]]</f>
        <v>1.4976226864860109E-3</v>
      </c>
      <c r="V57" s="122">
        <f>SUM('Jul 25'!L54)</f>
        <v>366.26607409884178</v>
      </c>
      <c r="W57" s="108">
        <f>SUM('Pago Cuota MC 2025'!L54)</f>
        <v>366.26</v>
      </c>
      <c r="X57" s="119">
        <f>SUM(-V57,W57)+Tabla3[[#This Row],[Saldo16]]</f>
        <v>-4.5764761553073185E-3</v>
      </c>
      <c r="Y57" s="122">
        <f>SUM('Ago 25'!L54)</f>
        <v>359.58616956918689</v>
      </c>
      <c r="Z57" s="108">
        <f>SUM('Pago Cuota MC 2025'!M54)</f>
        <v>359.59</v>
      </c>
      <c r="AA57" s="119">
        <f>SUM(-Y57,Z57)+Tabla3[[#This Row],[Saldo19]]</f>
        <v>-7.4604534222544316E-4</v>
      </c>
      <c r="AB57" s="122">
        <f>SUM('Sep 25'!L54)</f>
        <v>370.6420158990536</v>
      </c>
      <c r="AC57" s="108">
        <f>SUM('Pago Cuota MC 2025'!N54)</f>
        <v>370.64</v>
      </c>
      <c r="AD57" s="119">
        <f>SUM(-AB57,AC57)+Tabla3[[#This Row],[Saldo22]]</f>
        <v>-2.7619443958428747E-3</v>
      </c>
      <c r="AE57" s="122">
        <f>SUM('Oct 25'!L54)</f>
        <v>366.82624947755698</v>
      </c>
      <c r="AF57" s="108">
        <f>SUM('Pago Cuota MC 2025'!O54)</f>
        <v>366.83</v>
      </c>
      <c r="AG57" s="145">
        <f>SUM(-AE57,AF57)+Tabla3[[#This Row],[Saldo25]]</f>
        <v>9.8857804715635211E-4</v>
      </c>
      <c r="AH57" s="122">
        <f>SUM('Nov 25'!L54)</f>
        <v>361.33465744883654</v>
      </c>
      <c r="AI57" s="108">
        <f>SUM('Pago Cuota MC 2025'!P54)</f>
        <v>361.33</v>
      </c>
      <c r="AJ57" s="119">
        <f>SUM(-AH57,AI57)+Tabla3[[#This Row],[Saldo28]]</f>
        <v>-3.6688707893972605E-3</v>
      </c>
      <c r="AK57" s="122">
        <f>SUM('Dic 25'!L54)</f>
        <v>362.34245314087798</v>
      </c>
      <c r="AL57" s="108">
        <f>SUM('Pago Cuota MC 2025'!Q54)</f>
        <v>362.35</v>
      </c>
      <c r="AM57" s="145">
        <f>SUM(-AK57,AL57)+Tabla3[[#This Row],[Saldo31]]</f>
        <v>3.8779883326469644E-3</v>
      </c>
      <c r="AN57" s="128">
        <f t="shared" si="3"/>
        <v>3.8779883326469644E-3</v>
      </c>
      <c r="AO57" s="29"/>
      <c r="AP57" s="106" t="s">
        <v>12</v>
      </c>
      <c r="AQ57" t="s">
        <v>12</v>
      </c>
    </row>
    <row r="58" spans="1:43" ht="16.149999999999999" thickBot="1" x14ac:dyDescent="0.5">
      <c r="A58" s="313"/>
      <c r="B58" s="16" t="s">
        <v>5</v>
      </c>
      <c r="C58" s="116">
        <v>401</v>
      </c>
      <c r="D58" s="118">
        <f>SUM('Ene 25'!L55)-('Pago Cuota MC 2024'!F55)</f>
        <v>322.83318450160959</v>
      </c>
      <c r="E58" s="108">
        <f>SUM('Pago Cuota MC 2025'!F55)</f>
        <v>322.83</v>
      </c>
      <c r="F58" s="119">
        <f t="shared" si="2"/>
        <v>-3.1845016096099243E-3</v>
      </c>
      <c r="G58" s="118">
        <f>SUM('Feb 25'!L55)</f>
        <v>406.26393803047569</v>
      </c>
      <c r="H58" s="108">
        <f>SUM('Pago Cuota MC 2025'!G55)</f>
        <v>406.27</v>
      </c>
      <c r="I58" s="119">
        <f>SUM(-G58,H58)+Tabla3[[#This Row],[Saldo]]</f>
        <v>2.8774679146863491E-3</v>
      </c>
      <c r="J58" s="118">
        <f>SUM('Mar 25'!L55)</f>
        <v>427.64684275354409</v>
      </c>
      <c r="K58" s="108">
        <f>SUM('Pago Cuota MC 2025'!H55)</f>
        <v>0</v>
      </c>
      <c r="L58" s="119">
        <f>SUM(-J58,K58)+Tabla3[[#This Row],[Saldo4]]</f>
        <v>-427.64396528562941</v>
      </c>
      <c r="M58" s="122">
        <f>SUM('Abr 25'!L55)</f>
        <v>362.27111050885384</v>
      </c>
      <c r="N58" s="108">
        <f>SUM('Pago Cuota MC 2025'!I55)</f>
        <v>789.92</v>
      </c>
      <c r="O58" s="119">
        <f>SUM(-M58,N58)+Tabla3[[#This Row],[Saldo7]]</f>
        <v>4.924205516715574E-3</v>
      </c>
      <c r="P58" s="122">
        <f>SUM('May 25'!L55)</f>
        <v>365.96581198412696</v>
      </c>
      <c r="Q58" s="108">
        <f>SUM('Pago Cuota MC 2025'!J55)</f>
        <v>0</v>
      </c>
      <c r="R58" s="119">
        <f>SUM(-P58,Q58)+Tabla3[[#This Row],[Saldo13]]</f>
        <v>-365.96088777861024</v>
      </c>
      <c r="S58" s="122">
        <f>SUM('Jun 25'!L55)</f>
        <v>327.73498427963062</v>
      </c>
      <c r="T58" s="108">
        <f>SUM('Pago Cuota MC 2025'!K55)</f>
        <v>693.7</v>
      </c>
      <c r="U58" s="119">
        <f>SUM(-S58,T58)+Tabla3[[#This Row],[Saldo132]]</f>
        <v>4.1279417591795209E-3</v>
      </c>
      <c r="V58" s="122">
        <f>SUM('Jul 25'!L55)</f>
        <v>348.30422211794826</v>
      </c>
      <c r="W58" s="108">
        <f>SUM('Pago Cuota MC 2025'!L55)</f>
        <v>0</v>
      </c>
      <c r="X58" s="119">
        <f>SUM(-V58,W58)+Tabla3[[#This Row],[Saldo16]]</f>
        <v>-348.30009417618908</v>
      </c>
      <c r="Y58" s="122">
        <f>SUM('Ago 25'!L55)</f>
        <v>348.53207530385163</v>
      </c>
      <c r="Z58" s="108">
        <f>SUM('Pago Cuota MC 2025'!M55)</f>
        <v>696.83</v>
      </c>
      <c r="AA58" s="119">
        <f>SUM(-Y58,Z58)+Tabla3[[#This Row],[Saldo19]]</f>
        <v>-2.1694800406635295E-3</v>
      </c>
      <c r="AB58" s="122">
        <f>SUM('Sep 25'!L55)</f>
        <v>359.17670864353312</v>
      </c>
      <c r="AC58" s="108">
        <f>SUM('Pago Cuota MC 2025'!N55)</f>
        <v>0</v>
      </c>
      <c r="AD58" s="119">
        <f>SUM(-AB58,AC58)+Tabla3[[#This Row],[Saldo22]]</f>
        <v>-359.17887812357378</v>
      </c>
      <c r="AE58" s="122">
        <f>SUM('Oct 25'!L55)</f>
        <v>355.41226416750283</v>
      </c>
      <c r="AF58" s="108">
        <f>SUM('Pago Cuota MC 2025'!O55)</f>
        <v>714.59</v>
      </c>
      <c r="AG58" s="145">
        <f>SUM(-AE58,AF58)+Tabla3[[#This Row],[Saldo25]]</f>
        <v>-1.1422910765759298E-3</v>
      </c>
      <c r="AH58" s="122">
        <f>SUM('Nov 25'!L55)</f>
        <v>360.62012254555646</v>
      </c>
      <c r="AI58" s="108">
        <f>SUM('Pago Cuota MC 2025'!P55)</f>
        <v>0</v>
      </c>
      <c r="AJ58" s="119">
        <f>SUM(-AH58,AI58)+Tabla3[[#This Row],[Saldo28]]</f>
        <v>-360.62126483663303</v>
      </c>
      <c r="AK58" s="122">
        <f>SUM('Dic 25'!L55)</f>
        <v>353.99425817267229</v>
      </c>
      <c r="AL58" s="108">
        <f>SUM('Pago Cuota MC 2025'!Q55)</f>
        <v>714.62</v>
      </c>
      <c r="AM58" s="145">
        <f>SUM(-AK58,AL58)+Tabla3[[#This Row],[Saldo31]]</f>
        <v>4.476990694683991E-3</v>
      </c>
      <c r="AN58" s="128">
        <f t="shared" si="3"/>
        <v>4.476990694683991E-3</v>
      </c>
      <c r="AO58" s="29"/>
      <c r="AP58" s="106" t="s">
        <v>12</v>
      </c>
    </row>
    <row r="59" spans="1:43" ht="16.149999999999999" thickBot="1" x14ac:dyDescent="0.5">
      <c r="A59" s="313"/>
      <c r="B59" s="16" t="s">
        <v>5</v>
      </c>
      <c r="C59" s="116">
        <v>402</v>
      </c>
      <c r="D59" s="118">
        <f>SUM('Ene 25'!L56)-('Pago Cuota MC 2024'!F56)</f>
        <v>359.1188892396637</v>
      </c>
      <c r="E59" s="108">
        <f>SUM('Pago Cuota MC 2025'!F56)</f>
        <v>359.12</v>
      </c>
      <c r="F59" s="119">
        <f t="shared" si="2"/>
        <v>1.1107603363029739E-3</v>
      </c>
      <c r="G59" s="118">
        <f>SUM('Feb 25'!L56)</f>
        <v>342.25029092138993</v>
      </c>
      <c r="H59" s="108">
        <f>SUM('Pago Cuota MC 2025'!G56)</f>
        <v>342.25</v>
      </c>
      <c r="I59" s="119">
        <f>SUM(-G59,H59)+Tabla3[[#This Row],[Saldo]]</f>
        <v>8.1983894637005506E-4</v>
      </c>
      <c r="J59" s="118">
        <f>SUM('Mar 25'!L56)</f>
        <v>346.19058446564878</v>
      </c>
      <c r="K59" s="108">
        <f>SUM('Pago Cuota MC 2025'!H56)</f>
        <v>346.19</v>
      </c>
      <c r="L59" s="119">
        <f>SUM(-J59,K59)+Tabla3[[#This Row],[Saldo4]]</f>
        <v>2.3537329758482883E-4</v>
      </c>
      <c r="M59" s="122">
        <f>SUM('Abr 25'!L56)</f>
        <v>332.65184921288187</v>
      </c>
      <c r="N59" s="108">
        <f>SUM('Pago Cuota MC 2025'!I56)</f>
        <v>332.65</v>
      </c>
      <c r="O59" s="119">
        <f>SUM(-M59,N59)+Tabla3[[#This Row],[Saldo7]]</f>
        <v>-1.6138395843086073E-3</v>
      </c>
      <c r="P59" s="122">
        <f>SUM('May 25'!L56)</f>
        <v>374.50542507936507</v>
      </c>
      <c r="Q59" s="108">
        <f>SUM('Pago Cuota MC 2025'!J56)</f>
        <v>374.51</v>
      </c>
      <c r="R59" s="119">
        <f>SUM(-P59,Q59)+Tabla3[[#This Row],[Saldo13]]</f>
        <v>2.9610810506142116E-3</v>
      </c>
      <c r="S59" s="122">
        <f>SUM('Jun 25'!L56)</f>
        <v>337.08006316612875</v>
      </c>
      <c r="T59" s="108">
        <f>SUM('Pago Cuota MC 2025'!K56)</f>
        <v>337.08</v>
      </c>
      <c r="U59" s="119">
        <f>SUM(-S59,T59)+Tabla3[[#This Row],[Saldo132]]</f>
        <v>2.8979149218457678E-3</v>
      </c>
      <c r="V59" s="122">
        <f>SUM('Jul 25'!L56)</f>
        <v>335.54040936155599</v>
      </c>
      <c r="W59" s="108">
        <f>SUM('Pago Cuota MC 2025'!L56)</f>
        <v>335.54</v>
      </c>
      <c r="X59" s="119">
        <f>SUM(-V59,W59)+Tabla3[[#This Row],[Saldo16]]</f>
        <v>2.4885533658789427E-3</v>
      </c>
      <c r="Y59" s="122">
        <f>SUM('Ago 25'!L56)</f>
        <v>335.18661236519256</v>
      </c>
      <c r="Z59" s="108">
        <f>SUM('Pago Cuota MC 2025'!M56)</f>
        <v>335.18</v>
      </c>
      <c r="AA59" s="119">
        <f>SUM(-Y59,Z59)+Tabla3[[#This Row],[Saldo19]]</f>
        <v>-4.1238118266733181E-3</v>
      </c>
      <c r="AB59" s="122">
        <f>SUM('Sep 25'!L56)</f>
        <v>330.75812694006305</v>
      </c>
      <c r="AC59" s="108">
        <f>SUM('Pago Cuota MC 2025'!N56)</f>
        <v>330.76</v>
      </c>
      <c r="AD59" s="119">
        <f>SUM(-AB59,AC59)+Tabla3[[#This Row],[Saldo22]]</f>
        <v>-2.2507518897327827E-3</v>
      </c>
      <c r="AE59" s="122">
        <f>SUM('Oct 25'!L56)</f>
        <v>327.12089204227703</v>
      </c>
      <c r="AF59" s="108">
        <f>SUM('Pago Cuota MC 2025'!O56)</f>
        <v>327.12</v>
      </c>
      <c r="AG59" s="145">
        <f>SUM(-AE59,AF59)+Tabla3[[#This Row],[Saldo25]]</f>
        <v>-3.1427941667629966E-3</v>
      </c>
      <c r="AH59" s="122">
        <f>SUM('Nov 25'!L56)</f>
        <v>349.17962481637227</v>
      </c>
      <c r="AI59" s="108">
        <f>SUM('Pago Cuota MC 2025'!P56)</f>
        <v>349.18</v>
      </c>
      <c r="AJ59" s="119">
        <f>SUM(-AH59,AI59)+Tabla3[[#This Row],[Saldo28]]</f>
        <v>-2.7676105390241901E-3</v>
      </c>
      <c r="AK59" s="122">
        <f>SUM('Dic 25'!L56)</f>
        <v>344.26255820031952</v>
      </c>
      <c r="AL59" s="108">
        <f>SUM('Pago Cuota MC 2025'!Q56)</f>
        <v>0</v>
      </c>
      <c r="AM59" s="145">
        <f>SUM(-AK59,AL59)+Tabla3[[#This Row],[Saldo31]]</f>
        <v>-344.26532581085854</v>
      </c>
      <c r="AN59" s="128">
        <f t="shared" si="3"/>
        <v>-344.26532581085854</v>
      </c>
      <c r="AO59" s="29"/>
      <c r="AP59" s="106">
        <f>SUM(Tabla3[[#This Row],[Saldo Anual]])</f>
        <v>-344.26532581085854</v>
      </c>
    </row>
    <row r="60" spans="1:43" ht="16.149999999999999" thickBot="1" x14ac:dyDescent="0.5">
      <c r="A60" s="313"/>
      <c r="B60" s="16" t="s">
        <v>5</v>
      </c>
      <c r="C60" s="116">
        <v>403</v>
      </c>
      <c r="D60" s="118">
        <f>SUM('Ene 25'!L57)-('Pago Cuota MC 2024'!F57)</f>
        <v>-3.6272485476729344E-4</v>
      </c>
      <c r="E60" s="108">
        <f>SUM('Pago Cuota MC 2025'!F57)</f>
        <v>0</v>
      </c>
      <c r="F60" s="119">
        <f t="shared" si="2"/>
        <v>3.6272485476729344E-4</v>
      </c>
      <c r="G60" s="118">
        <f>SUM('Feb 25'!L57)</f>
        <v>344.56917257903734</v>
      </c>
      <c r="H60" s="108">
        <f>SUM('Pago Cuota MC 2025'!G57)</f>
        <v>500</v>
      </c>
      <c r="I60" s="119">
        <f>SUM(-G60,H60)+Tabla3[[#This Row],[Saldo]]</f>
        <v>155.43119014581742</v>
      </c>
      <c r="J60" s="118">
        <f>SUM('Mar 25'!L57)</f>
        <v>421.89064771537619</v>
      </c>
      <c r="K60" s="108">
        <f>SUM('Pago Cuota MC 2025'!H57)</f>
        <v>0</v>
      </c>
      <c r="L60" s="119">
        <f>SUM(-J60,K60)+Tabla3[[#This Row],[Saldo4]]</f>
        <v>-266.45945756955877</v>
      </c>
      <c r="M60" s="122">
        <f>SUM('Abr 25'!L57)</f>
        <v>402.32547078322631</v>
      </c>
      <c r="N60" s="108">
        <f>SUM('Pago Cuota MC 2025'!I57)</f>
        <v>600</v>
      </c>
      <c r="O60" s="119">
        <f>SUM(-M60,N60)+Tabla3[[#This Row],[Saldo7]]</f>
        <v>-68.784928352785073</v>
      </c>
      <c r="P60" s="122">
        <f>SUM('May 25'!L57)</f>
        <v>393.34195960317459</v>
      </c>
      <c r="Q60" s="108">
        <f>SUM('Pago Cuota MC 2025'!J57)</f>
        <v>600</v>
      </c>
      <c r="R60" s="119">
        <f>SUM(-P60,Q60)+Tabla3[[#This Row],[Saldo13]]</f>
        <v>137.87311204404034</v>
      </c>
      <c r="S60" s="122">
        <f>SUM('Jun 25'!L57)</f>
        <v>394.91338519410078</v>
      </c>
      <c r="T60" s="108">
        <f>SUM('Pago Cuota MC 2025'!K57)</f>
        <v>0</v>
      </c>
      <c r="U60" s="119">
        <f>SUM(-S60,T60)+Tabla3[[#This Row],[Saldo132]]</f>
        <v>-257.04027315006044</v>
      </c>
      <c r="V60" s="122">
        <f>SUM('Jul 25'!L57)</f>
        <v>372.85182515250852</v>
      </c>
      <c r="W60" s="108">
        <f>SUM('Pago Cuota MC 2025'!L57)</f>
        <v>0</v>
      </c>
      <c r="X60" s="119">
        <f>SUM(-V60,W60)+Tabla3[[#This Row],[Saldo16]]</f>
        <v>-629.89209830256891</v>
      </c>
      <c r="Y60" s="122">
        <f>SUM('Ago 25'!L57)</f>
        <v>425.70515113837376</v>
      </c>
      <c r="Z60" s="108">
        <f>SUM('Pago Cuota MC 2025'!M57)</f>
        <v>1055</v>
      </c>
      <c r="AA60" s="119">
        <f>SUM(-Y60,Z60)+Tabla3[[#This Row],[Saldo19]]</f>
        <v>-0.59724944094273269</v>
      </c>
      <c r="AB60" s="122">
        <f>SUM('Sep 25'!L57)</f>
        <v>353.10615470031541</v>
      </c>
      <c r="AC60" s="108">
        <f>SUM('Pago Cuota MC 2025'!N57)</f>
        <v>353.7</v>
      </c>
      <c r="AD60" s="119">
        <f>SUM(-AB60,AC60)+Tabla3[[#This Row],[Saldo22]]</f>
        <v>-3.4041412581586883E-3</v>
      </c>
      <c r="AE60" s="122">
        <f>SUM('Oct 25'!L57)</f>
        <v>349.368883734029</v>
      </c>
      <c r="AF60" s="108">
        <f>SUM('Pago Cuota MC 2025'!O57)</f>
        <v>349.37</v>
      </c>
      <c r="AG60" s="145">
        <f>SUM(-AE60,AF60)+Tabla3[[#This Row],[Saldo25]]</f>
        <v>-2.2878752871520192E-3</v>
      </c>
      <c r="AH60" s="122">
        <f>SUM('Nov 25'!L57)</f>
        <v>388.27659294084663</v>
      </c>
      <c r="AI60" s="108">
        <f>SUM('Pago Cuota MC 2025'!P57)</f>
        <v>0</v>
      </c>
      <c r="AJ60" s="119">
        <f>SUM(-AH60,AI60)+Tabla3[[#This Row],[Saldo28]]</f>
        <v>-388.27888081613378</v>
      </c>
      <c r="AK60" s="122">
        <f>SUM('Dic 25'!L57)</f>
        <v>394.81944703084207</v>
      </c>
      <c r="AL60" s="108">
        <f>SUM('Pago Cuota MC 2025'!Q57)</f>
        <v>0</v>
      </c>
      <c r="AM60" s="145">
        <f>SUM(-AK60,AL60)+Tabla3[[#This Row],[Saldo31]]</f>
        <v>-783.09832784697585</v>
      </c>
      <c r="AN60" s="128">
        <f t="shared" si="3"/>
        <v>-783.09832784697585</v>
      </c>
      <c r="AO60" s="29"/>
      <c r="AP60" s="106">
        <f>SUM(Tabla3[[#This Row],[Saldo Anual]])</f>
        <v>-783.09832784697585</v>
      </c>
    </row>
    <row r="61" spans="1:43" ht="16.149999999999999" thickBot="1" x14ac:dyDescent="0.5">
      <c r="A61" s="313"/>
      <c r="B61" s="16" t="s">
        <v>5</v>
      </c>
      <c r="C61" s="116">
        <v>404</v>
      </c>
      <c r="D61" s="118">
        <f>SUM('Ene 25'!L58)-('Pago Cuota MC 2024'!F58)</f>
        <v>310.38366613948136</v>
      </c>
      <c r="E61" s="108">
        <f>SUM('Pago Cuota MC 2025'!F58)</f>
        <v>320</v>
      </c>
      <c r="F61" s="119">
        <f t="shared" si="2"/>
        <v>9.6163338605186368</v>
      </c>
      <c r="G61" s="118">
        <f>SUM('Feb 25'!L58)</f>
        <v>365.81059781401314</v>
      </c>
      <c r="H61" s="108">
        <f>SUM('Pago Cuota MC 2025'!G58)</f>
        <v>355</v>
      </c>
      <c r="I61" s="119">
        <f>SUM(-G61,H61)+Tabla3[[#This Row],[Saldo]]</f>
        <v>-1.1942639534944988</v>
      </c>
      <c r="J61" s="118">
        <f>SUM('Mar 25'!L58)</f>
        <v>370.60818282987998</v>
      </c>
      <c r="K61" s="108">
        <f>SUM('Pago Cuota MC 2025'!H58)</f>
        <v>372</v>
      </c>
      <c r="L61" s="119">
        <f>SUM(-J61,K61)+Tabla3[[#This Row],[Saldo4]]</f>
        <v>0.19755321662552205</v>
      </c>
      <c r="M61" s="122">
        <f>SUM('Abr 25'!L58)</f>
        <v>362.54355566355321</v>
      </c>
      <c r="N61" s="108">
        <f>SUM('Pago Cuota MC 2025'!I58)</f>
        <v>363</v>
      </c>
      <c r="O61" s="119">
        <f>SUM(-M61,N61)+Tabla3[[#This Row],[Saldo7]]</f>
        <v>0.65399755307231544</v>
      </c>
      <c r="P61" s="122">
        <f>SUM('May 25'!L58)</f>
        <v>378.92956198412696</v>
      </c>
      <c r="Q61" s="108">
        <f>SUM('Pago Cuota MC 2025'!J58)</f>
        <v>378.5</v>
      </c>
      <c r="R61" s="119">
        <f>SUM(-P61,Q61)+Tabla3[[#This Row],[Saldo13]]</f>
        <v>0.22443556894535277</v>
      </c>
      <c r="S61" s="122">
        <f>SUM('Jun 25'!L58)</f>
        <v>367.91208901335847</v>
      </c>
      <c r="T61" s="108">
        <f>SUM('Pago Cuota MC 2025'!K58)</f>
        <v>368</v>
      </c>
      <c r="U61" s="119">
        <f>SUM(-S61,T61)+Tabla3[[#This Row],[Saldo132]]</f>
        <v>0.31234655558688473</v>
      </c>
      <c r="V61" s="122">
        <f>SUM('Jul 25'!L58)</f>
        <v>368.43388382067371</v>
      </c>
      <c r="W61" s="108">
        <f>SUM('Pago Cuota MC 2025'!L58)</f>
        <v>368.5</v>
      </c>
      <c r="X61" s="119">
        <f>SUM(-V61,W61)+Tabla3[[#This Row],[Saldo16]]</f>
        <v>0.37846273491317106</v>
      </c>
      <c r="Y61" s="122">
        <f>SUM('Ago 25'!L58)</f>
        <v>367.2853247189729</v>
      </c>
      <c r="Z61" s="108">
        <f>SUM('Pago Cuota MC 2025'!M58)</f>
        <v>366.91</v>
      </c>
      <c r="AA61" s="119">
        <f>SUM(-Y61,Z61)+Tabla3[[#This Row],[Saldo19]]</f>
        <v>3.1380159402942809E-3</v>
      </c>
      <c r="AB61" s="122">
        <f>SUM('Sep 25'!L58)</f>
        <v>363.84905438485805</v>
      </c>
      <c r="AC61" s="108">
        <f>SUM('Pago Cuota MC 2025'!N58)</f>
        <v>0</v>
      </c>
      <c r="AD61" s="119">
        <f>SUM(-AB61,AC61)+Tabla3[[#This Row],[Saldo22]]</f>
        <v>-363.84591636891776</v>
      </c>
      <c r="AE61" s="122">
        <f>SUM('Oct 25'!L58)</f>
        <v>360.06369517292126</v>
      </c>
      <c r="AF61" s="108">
        <f>SUM('Pago Cuota MC 2025'!O58)</f>
        <v>724</v>
      </c>
      <c r="AG61" s="145">
        <f>SUM(-AE61,AF61)+Tabla3[[#This Row],[Saldo25]]</f>
        <v>9.0388458160987284E-2</v>
      </c>
      <c r="AH61" s="122">
        <f>SUM('Nov 25'!L58)</f>
        <v>372.42979664143536</v>
      </c>
      <c r="AI61" s="108">
        <f>SUM('Pago Cuota MC 2025'!P58)</f>
        <v>373</v>
      </c>
      <c r="AJ61" s="119">
        <f>SUM(-AH61,AI61)+Tabla3[[#This Row],[Saldo28]]</f>
        <v>0.66059181672562772</v>
      </c>
      <c r="AK61" s="122">
        <f>SUM('Dic 25'!L58)</f>
        <v>368.0022463396615</v>
      </c>
      <c r="AL61" s="108">
        <f>SUM('Pago Cuota MC 2025'!Q58)</f>
        <v>367.5</v>
      </c>
      <c r="AM61" s="145">
        <f>SUM(-AK61,AL61)+Tabla3[[#This Row],[Saldo31]]</f>
        <v>0.15834547706413105</v>
      </c>
      <c r="AN61" s="128">
        <f t="shared" si="3"/>
        <v>0.15834547706413105</v>
      </c>
      <c r="AO61" s="29"/>
      <c r="AP61" s="106" t="s">
        <v>12</v>
      </c>
    </row>
    <row r="62" spans="1:43" ht="16.149999999999999" thickBot="1" x14ac:dyDescent="0.5">
      <c r="A62" s="313"/>
      <c r="B62" s="16" t="s">
        <v>5</v>
      </c>
      <c r="C62" s="116">
        <v>501</v>
      </c>
      <c r="D62" s="118">
        <f>SUM('Ene 25'!L59)-('Pago Cuota MC 2024'!F59)</f>
        <v>364.09656973756682</v>
      </c>
      <c r="E62" s="108">
        <f>SUM('Pago Cuota MC 2025'!F59)</f>
        <v>364.1</v>
      </c>
      <c r="F62" s="119">
        <f t="shared" si="2"/>
        <v>3.4302624331985498E-3</v>
      </c>
      <c r="G62" s="118">
        <f>SUM('Feb 25'!L59)</f>
        <v>539.82839317146113</v>
      </c>
      <c r="H62" s="108">
        <f>SUM('Pago Cuota MC 2025'!G59)</f>
        <v>539.82000000000005</v>
      </c>
      <c r="I62" s="119">
        <f>SUM(-G62,H62)+Tabla3[[#This Row],[Saldo]]</f>
        <v>-4.9629090278813237E-3</v>
      </c>
      <c r="J62" s="118">
        <f>SUM('Mar 25'!L59)</f>
        <v>527.60712377862592</v>
      </c>
      <c r="K62" s="108">
        <f>SUM('Pago Cuota MC 2025'!H59)</f>
        <v>527.41</v>
      </c>
      <c r="L62" s="119">
        <f>SUM(-J62,K62)+Tabla3[[#This Row],[Saldo4]]</f>
        <v>-0.20208668765383209</v>
      </c>
      <c r="M62" s="122">
        <f>SUM('Abr 25'!L59)</f>
        <v>592.44253642829335</v>
      </c>
      <c r="N62" s="108">
        <f>SUM('Pago Cuota MC 2025'!I59)</f>
        <v>592.64</v>
      </c>
      <c r="O62" s="119">
        <f>SUM(-M62,N62)+Tabla3[[#This Row],[Saldo7]]</f>
        <v>-4.6231159471972205E-3</v>
      </c>
      <c r="P62" s="122">
        <f>SUM('May 25'!L59)</f>
        <v>528.185536984127</v>
      </c>
      <c r="Q62" s="108">
        <f>SUM('Pago Cuota MC 2025'!J59)</f>
        <v>528.19000000000005</v>
      </c>
      <c r="R62" s="119">
        <f>SUM(-P62,Q62)+Tabla3[[#This Row],[Saldo13]]</f>
        <v>-1.6010007414024585E-4</v>
      </c>
      <c r="S62" s="122">
        <f>SUM('Jun 25'!L59)</f>
        <v>379.25770407521964</v>
      </c>
      <c r="T62" s="108">
        <f>SUM('Pago Cuota MC 2025'!K59)</f>
        <v>379.25</v>
      </c>
      <c r="U62" s="119">
        <f>SUM(-S62,T62)+Tabla3[[#This Row],[Saldo132]]</f>
        <v>-7.8641752937755882E-3</v>
      </c>
      <c r="V62" s="122">
        <f>SUM('Jul 25'!L59)</f>
        <v>496.0837716543349</v>
      </c>
      <c r="W62" s="108">
        <f>SUM('Pago Cuota MC 2025'!L59)</f>
        <v>496.09</v>
      </c>
      <c r="X62" s="119">
        <f>SUM(-V62,W62)+Tabla3[[#This Row],[Saldo16]]</f>
        <v>-1.6358296286966834E-3</v>
      </c>
      <c r="Y62" s="122">
        <f>SUM('Ago 25'!L59)</f>
        <v>530.73498668758918</v>
      </c>
      <c r="Z62" s="108">
        <f>SUM('Pago Cuota MC 2025'!M59)</f>
        <v>530.74</v>
      </c>
      <c r="AA62" s="119">
        <f>SUM(-Y62,Z62)+Tabla3[[#This Row],[Saldo19]]</f>
        <v>3.3774827821275721E-3</v>
      </c>
      <c r="AB62" s="122">
        <f>SUM('Sep 25'!L59)</f>
        <v>494.53879823343846</v>
      </c>
      <c r="AC62" s="108">
        <f>SUM('Pago Cuota MC 2025'!N59)</f>
        <v>494.54</v>
      </c>
      <c r="AD62" s="119">
        <f>SUM(-AB62,AC62)+Tabla3[[#This Row],[Saldo22]]</f>
        <v>4.5792493436920267E-3</v>
      </c>
      <c r="AE62" s="122">
        <f>SUM('Oct 25'!L59)</f>
        <v>490.16843490802057</v>
      </c>
      <c r="AF62" s="108">
        <f>SUM('Pago Cuota MC 2025'!O59)</f>
        <v>490.16</v>
      </c>
      <c r="AG62" s="145">
        <f>SUM(-AE62,AF62)+Tabla3[[#This Row],[Saldo25]]</f>
        <v>-3.8556586768550005E-3</v>
      </c>
      <c r="AH62" s="122">
        <f>SUM('Nov 25'!L59)</f>
        <v>476.2556877263807</v>
      </c>
      <c r="AI62" s="108">
        <f>SUM('Pago Cuota MC 2025'!P59)</f>
        <v>476.26</v>
      </c>
      <c r="AJ62" s="119">
        <f>SUM(-AH62,AI62)+Tabla3[[#This Row],[Saldo28]]</f>
        <v>4.5661494243631751E-4</v>
      </c>
      <c r="AK62" s="122">
        <f>SUM('Dic 25'!L59)</f>
        <v>453.10352574248151</v>
      </c>
      <c r="AL62" s="108">
        <f>SUM('Pago Cuota MC 2025'!Q59)</f>
        <v>454.1</v>
      </c>
      <c r="AM62" s="145">
        <f>SUM(-AK62,AL62)+Tabla3[[#This Row],[Saldo31]]</f>
        <v>0.99693087246095047</v>
      </c>
      <c r="AN62" s="128">
        <f t="shared" si="3"/>
        <v>0.99693087246095047</v>
      </c>
      <c r="AO62" s="29"/>
      <c r="AP62" s="106" t="s">
        <v>12</v>
      </c>
    </row>
    <row r="63" spans="1:43" ht="16.149999999999999" thickBot="1" x14ac:dyDescent="0.5">
      <c r="A63" s="313"/>
      <c r="B63" s="16" t="s">
        <v>5</v>
      </c>
      <c r="C63" s="116">
        <v>502</v>
      </c>
      <c r="D63" s="118">
        <f>SUM('Ene 25'!L60)-('Pago Cuota MC 2024'!F60)</f>
        <v>327.97981257843196</v>
      </c>
      <c r="E63" s="108">
        <f>SUM('Pago Cuota MC 2025'!F60)</f>
        <v>356</v>
      </c>
      <c r="F63" s="119">
        <f t="shared" si="2"/>
        <v>28.020187421568039</v>
      </c>
      <c r="G63" s="118">
        <f>SUM('Feb 25'!L60)</f>
        <v>371.90303899886078</v>
      </c>
      <c r="H63" s="108">
        <f>SUM('Pago Cuota MC 2025'!G60)</f>
        <v>350</v>
      </c>
      <c r="I63" s="119">
        <f>SUM(-G63,H63)+Tabla3[[#This Row],[Saldo]]</f>
        <v>6.1171484227072597</v>
      </c>
      <c r="J63" s="118">
        <f>SUM('Mar 25'!L60)</f>
        <v>367.45270202290072</v>
      </c>
      <c r="K63" s="108">
        <f>SUM('Pago Cuota MC 2025'!H60)</f>
        <v>361.34</v>
      </c>
      <c r="L63" s="119">
        <f>SUM(-J63,K63)+Tabla3[[#This Row],[Saldo4]]</f>
        <v>4.4463998065111809E-3</v>
      </c>
      <c r="M63" s="122">
        <f>SUM('Abr 25'!L60)</f>
        <v>373.09165613057013</v>
      </c>
      <c r="N63" s="108">
        <f>SUM('Pago Cuota MC 2025'!I60)</f>
        <v>373.09</v>
      </c>
      <c r="O63" s="119">
        <f>SUM(-M63,N63)+Tabla3[[#This Row],[Saldo7]]</f>
        <v>2.7902692363568349E-3</v>
      </c>
      <c r="P63" s="122">
        <f>SUM('May 25'!L60)</f>
        <v>389.88495960317459</v>
      </c>
      <c r="Q63" s="108">
        <f>SUM('Pago Cuota MC 2025'!J60)</f>
        <v>389.9</v>
      </c>
      <c r="R63" s="119">
        <f>SUM(-P63,Q63)+Tabla3[[#This Row],[Saldo13]]</f>
        <v>1.7830666061740885E-2</v>
      </c>
      <c r="S63" s="122">
        <f>SUM('Jun 25'!L60)</f>
        <v>375.32001504886142</v>
      </c>
      <c r="T63" s="108">
        <f>SUM('Pago Cuota MC 2025'!K60)</f>
        <v>375.3</v>
      </c>
      <c r="U63" s="119">
        <f>SUM(-S63,T63)+Tabla3[[#This Row],[Saldo132]]</f>
        <v>-2.1843827996690379E-3</v>
      </c>
      <c r="V63" s="122">
        <f>SUM('Jul 25'!L60)</f>
        <v>373.43983863944305</v>
      </c>
      <c r="W63" s="108">
        <f>SUM('Pago Cuota MC 2025'!L60)</f>
        <v>373.44</v>
      </c>
      <c r="X63" s="119">
        <f>SUM(-V63,W63)+Tabla3[[#This Row],[Saldo16]]</f>
        <v>-2.0230222427244371E-3</v>
      </c>
      <c r="Y63" s="122">
        <f>SUM('Ago 25'!L60)</f>
        <v>367.28141453352356</v>
      </c>
      <c r="Z63" s="108">
        <f>SUM('Pago Cuota MC 2025'!M60)</f>
        <v>367.28</v>
      </c>
      <c r="AA63" s="119">
        <f>SUM(-Y63,Z63)+Tabla3[[#This Row],[Saldo19]]</f>
        <v>-3.4375557663111067E-3</v>
      </c>
      <c r="AB63" s="122">
        <f>SUM('Sep 25'!L60)</f>
        <v>379.48956668769711</v>
      </c>
      <c r="AC63" s="108">
        <f>SUM('Pago Cuota MC 2025'!N60)</f>
        <v>379.49</v>
      </c>
      <c r="AD63" s="119">
        <f>SUM(-AB63,AC63)+Tabla3[[#This Row],[Saldo22]]</f>
        <v>-3.0042434634083293E-3</v>
      </c>
      <c r="AE63" s="122">
        <f>SUM('Oct 25'!L60)</f>
        <v>375.63419613619635</v>
      </c>
      <c r="AF63" s="108">
        <f>SUM('Pago Cuota MC 2025'!O60)</f>
        <v>375.64</v>
      </c>
      <c r="AG63" s="145">
        <f>SUM(-AE63,AF63)+Tabla3[[#This Row],[Saldo25]]</f>
        <v>2.7996203402267383E-3</v>
      </c>
      <c r="AH63" s="122">
        <f>SUM('Nov 25'!L60)</f>
        <v>383.88220328567422</v>
      </c>
      <c r="AI63" s="108">
        <f>SUM('Pago Cuota MC 2025'!P60)</f>
        <v>383.88</v>
      </c>
      <c r="AJ63" s="119">
        <f>SUM(-AH63,AI63)+Tabla3[[#This Row],[Saldo28]]</f>
        <v>5.9633466599962048E-4</v>
      </c>
      <c r="AK63" s="122">
        <f>SUM('Dic 25'!L60)</f>
        <v>380.08826306623052</v>
      </c>
      <c r="AL63" s="108">
        <f>SUM('Pago Cuota MC 2025'!Q60)</f>
        <v>0</v>
      </c>
      <c r="AM63" s="145">
        <f>SUM(-AK63,AL63)+Tabla3[[#This Row],[Saldo31]]</f>
        <v>-380.08766673156452</v>
      </c>
      <c r="AN63" s="128">
        <f t="shared" si="3"/>
        <v>-380.08766673156452</v>
      </c>
      <c r="AO63" s="29"/>
      <c r="AP63" s="106">
        <f>SUM(Tabla3[[#This Row],[Saldo Anual]])</f>
        <v>-380.08766673156452</v>
      </c>
    </row>
    <row r="64" spans="1:43" ht="16.149999999999999" thickBot="1" x14ac:dyDescent="0.5">
      <c r="A64" s="313"/>
      <c r="B64" s="16" t="s">
        <v>5</v>
      </c>
      <c r="C64" s="116">
        <v>503</v>
      </c>
      <c r="D64" s="118">
        <f>SUM('Ene 25'!L61)-('Pago Cuota MC 2024'!F61)</f>
        <v>256.1771222047708</v>
      </c>
      <c r="E64" s="108">
        <f>SUM('Pago Cuota MC 2025'!F61)</f>
        <v>500</v>
      </c>
      <c r="F64" s="119">
        <f t="shared" si="2"/>
        <v>243.8228777952292</v>
      </c>
      <c r="G64" s="118">
        <f>SUM('Feb 25'!L61)</f>
        <v>457.68992905867276</v>
      </c>
      <c r="H64" s="108">
        <f>SUM('Pago Cuota MC 2025'!G61)</f>
        <v>450</v>
      </c>
      <c r="I64" s="119">
        <f>SUM(-G64,H64)+Tabla3[[#This Row],[Saldo]]</f>
        <v>236.13294873655644</v>
      </c>
      <c r="J64" s="118">
        <f>SUM('Mar 25'!L61)</f>
        <v>419.73059913304246</v>
      </c>
      <c r="K64" s="108">
        <f>SUM('Pago Cuota MC 2025'!H61)</f>
        <v>460</v>
      </c>
      <c r="L64" s="119">
        <f>SUM(-J64,K64)+Tabla3[[#This Row],[Saldo4]]</f>
        <v>276.40234960351398</v>
      </c>
      <c r="M64" s="122">
        <f>SUM('Abr 25'!L61)</f>
        <v>454.29657761334886</v>
      </c>
      <c r="N64" s="108">
        <f>SUM('Pago Cuota MC 2025'!I61)</f>
        <v>500</v>
      </c>
      <c r="O64" s="119">
        <f>SUM(-M64,N64)+Tabla3[[#This Row],[Saldo7]]</f>
        <v>322.10577199016512</v>
      </c>
      <c r="P64" s="122">
        <f>SUM('May 25'!L61)</f>
        <v>452.47312150793653</v>
      </c>
      <c r="Q64" s="108">
        <f>SUM('Pago Cuota MC 2025'!J61)</f>
        <v>500</v>
      </c>
      <c r="R64" s="119">
        <f>SUM(-P64,Q64)+Tabla3[[#This Row],[Saldo13]]</f>
        <v>369.6326504822286</v>
      </c>
      <c r="S64" s="122">
        <f>SUM('Jun 25'!L61)</f>
        <v>446.09541962121216</v>
      </c>
      <c r="T64" s="108">
        <f>SUM('Pago Cuota MC 2025'!K61)</f>
        <v>77</v>
      </c>
      <c r="U64" s="119">
        <f>SUM(-S64,T64)+Tabla3[[#This Row],[Saldo132]]</f>
        <v>0.53723086101643958</v>
      </c>
      <c r="V64" s="122">
        <f>SUM('Jul 25'!L61)</f>
        <v>444.23666246636071</v>
      </c>
      <c r="W64" s="108">
        <f>SUM('Pago Cuota MC 2025'!L61)</f>
        <v>542</v>
      </c>
      <c r="X64" s="119">
        <f>SUM(-V64,W64)+Tabla3[[#This Row],[Saldo16]]</f>
        <v>98.300568394655727</v>
      </c>
      <c r="Y64" s="122">
        <f>SUM('Ago 25'!L61)</f>
        <v>398.5928580713267</v>
      </c>
      <c r="Z64" s="108">
        <f>SUM('Pago Cuota MC 2025'!M61)</f>
        <v>435.3</v>
      </c>
      <c r="AA64" s="119">
        <f>SUM(-Y64,Z64)+Tabla3[[#This Row],[Saldo19]]</f>
        <v>135.00771032332904</v>
      </c>
      <c r="AB64" s="122">
        <f>SUM('Sep 25'!L61)</f>
        <v>422.52719192429021</v>
      </c>
      <c r="AC64" s="108">
        <f>SUM('Pago Cuota MC 2025'!N61)</f>
        <v>288</v>
      </c>
      <c r="AD64" s="119">
        <f>SUM(-AB64,AC64)+Tabla3[[#This Row],[Saldo22]]</f>
        <v>0.48051839903882865</v>
      </c>
      <c r="AE64" s="122">
        <f>SUM('Oct 25'!L61)</f>
        <v>418.47917283697905</v>
      </c>
      <c r="AF64" s="108">
        <f>SUM('Pago Cuota MC 2025'!O61)</f>
        <v>420</v>
      </c>
      <c r="AG64" s="145">
        <f>SUM(-AE64,AF64)+Tabla3[[#This Row],[Saldo25]]</f>
        <v>2.0013455620597824</v>
      </c>
      <c r="AH64" s="122">
        <f>SUM('Nov 25'!L61)</f>
        <v>429.4258640930754</v>
      </c>
      <c r="AI64" s="108">
        <f>SUM('Pago Cuota MC 2025'!P61)</f>
        <v>428</v>
      </c>
      <c r="AJ64" s="119">
        <f>SUM(-AH64,AI64)+Tabla3[[#This Row],[Saldo28]]</f>
        <v>0.57548146898437835</v>
      </c>
      <c r="AK64" s="122">
        <f>SUM('Dic 25'!L61)</f>
        <v>454.56956939744418</v>
      </c>
      <c r="AL64" s="108">
        <f>SUM('Pago Cuota MC 2025'!Q61)</f>
        <v>454</v>
      </c>
      <c r="AM64" s="145">
        <f>SUM(-AK64,AL64)+Tabla3[[#This Row],[Saldo31]]</f>
        <v>5.9120715401945745E-3</v>
      </c>
      <c r="AN64" s="128">
        <f t="shared" si="3"/>
        <v>5.9120715401945745E-3</v>
      </c>
      <c r="AO64" s="29"/>
      <c r="AP64" s="106" t="s">
        <v>12</v>
      </c>
    </row>
    <row r="65" spans="1:42" ht="16.149999999999999" thickBot="1" x14ac:dyDescent="0.5">
      <c r="A65" s="313"/>
      <c r="B65" s="16" t="s">
        <v>5</v>
      </c>
      <c r="C65" s="116">
        <v>504</v>
      </c>
      <c r="D65" s="118">
        <f>SUM('Ene 25'!L62)-('Pago Cuota MC 2024'!F62)</f>
        <v>336.59563235854381</v>
      </c>
      <c r="E65" s="108">
        <f>SUM('Pago Cuota MC 2025'!F62)</f>
        <v>336.6</v>
      </c>
      <c r="F65" s="119">
        <f t="shared" si="2"/>
        <v>4.367641456212823E-3</v>
      </c>
      <c r="G65" s="118">
        <f>SUM('Feb 25'!L62)</f>
        <v>400.74241880518377</v>
      </c>
      <c r="H65" s="108">
        <f>SUM('Pago Cuota MC 2025'!G62)</f>
        <v>400.74</v>
      </c>
      <c r="I65" s="119">
        <f>SUM(-G65,H65)+Tabla3[[#This Row],[Saldo]]</f>
        <v>1.9488362724473518E-3</v>
      </c>
      <c r="J65" s="118">
        <f>SUM('Mar 25'!L62)</f>
        <v>401.56887917666296</v>
      </c>
      <c r="K65" s="108">
        <f>SUM('Pago Cuota MC 2025'!H62)</f>
        <v>401.57</v>
      </c>
      <c r="L65" s="119">
        <f>SUM(-J65,K65)+Tabla3[[#This Row],[Saldo4]]</f>
        <v>3.0696596094799133E-3</v>
      </c>
      <c r="M65" s="122">
        <f>SUM('Abr 25'!L62)</f>
        <v>395.83472702957772</v>
      </c>
      <c r="N65" s="108">
        <f>SUM('Pago Cuota MC 2025'!I62)</f>
        <v>395.83</v>
      </c>
      <c r="O65" s="119">
        <f>SUM(-M65,N65)+Tabla3[[#This Row],[Saldo7]]</f>
        <v>-1.6573699682567167E-3</v>
      </c>
      <c r="P65" s="122">
        <f>SUM('May 25'!L62)</f>
        <v>410.71338460317463</v>
      </c>
      <c r="Q65" s="108">
        <f>SUM('Pago Cuota MC 2025'!J62)</f>
        <v>410.72</v>
      </c>
      <c r="R65" s="119">
        <f>SUM(-P65,Q65)+Tabla3[[#This Row],[Saldo13]]</f>
        <v>4.9580268571389752E-3</v>
      </c>
      <c r="S65" s="122">
        <f>SUM('Jun 25'!L62)</f>
        <v>402.20246749641387</v>
      </c>
      <c r="T65" s="108">
        <f>SUM('Pago Cuota MC 2025'!K62)</f>
        <v>402.2</v>
      </c>
      <c r="U65" s="119">
        <f>SUM(-S65,T65)+Tabla3[[#This Row],[Saldo132]]</f>
        <v>2.4905304432536468E-3</v>
      </c>
      <c r="V65" s="122">
        <f>SUM('Jul 25'!L62)</f>
        <v>395.90979402016796</v>
      </c>
      <c r="W65" s="108">
        <f>SUM('Pago Cuota MC 2025'!L62)</f>
        <v>395.91</v>
      </c>
      <c r="X65" s="119">
        <f>SUM(-V65,W65)+Tabla3[[#This Row],[Saldo16]]</f>
        <v>2.6965102753138126E-3</v>
      </c>
      <c r="Y65" s="122">
        <f>SUM('Ago 25'!L62)</f>
        <v>392.13846343509272</v>
      </c>
      <c r="Z65" s="108">
        <f>SUM('Pago Cuota MC 2025'!M62)</f>
        <v>392.14</v>
      </c>
      <c r="AA65" s="119">
        <f>SUM(-Y65,Z65)+Tabla3[[#This Row],[Saldo19]]</f>
        <v>4.2330751825829793E-3</v>
      </c>
      <c r="AB65" s="122">
        <f>SUM('Sep 25'!L62)</f>
        <v>395.05240075709776</v>
      </c>
      <c r="AC65" s="108">
        <f>SUM('Pago Cuota MC 2025'!N62)</f>
        <v>395.05</v>
      </c>
      <c r="AD65" s="119">
        <f>SUM(-AB65,AC65)+Tabla3[[#This Row],[Saldo22]]</f>
        <v>1.8323180848369702E-3</v>
      </c>
      <c r="AE65" s="122">
        <f>SUM('Oct 25'!L62)</f>
        <v>391.12736657569064</v>
      </c>
      <c r="AF65" s="108">
        <f>SUM('Pago Cuota MC 2025'!O62)</f>
        <v>391.13</v>
      </c>
      <c r="AG65" s="145">
        <f>SUM(-AE65,AF65)+Tabla3[[#This Row],[Saldo25]]</f>
        <v>4.4657423941885099E-3</v>
      </c>
      <c r="AH65" s="122">
        <f>SUM('Nov 25'!L62)</f>
        <v>388.79661556490043</v>
      </c>
      <c r="AI65" s="108">
        <f>SUM('Pago Cuota MC 2025'!P62)</f>
        <v>388.79</v>
      </c>
      <c r="AJ65" s="119">
        <f>SUM(-AH65,AI65)+Tabla3[[#This Row],[Saldo28]]</f>
        <v>-2.1498225062259735E-3</v>
      </c>
      <c r="AK65" s="122">
        <f>SUM('Dic 25'!L62)</f>
        <v>385.50830113645441</v>
      </c>
      <c r="AL65" s="108">
        <f>SUM('Pago Cuota MC 2025'!Q62)</f>
        <v>385.51</v>
      </c>
      <c r="AM65" s="145">
        <f>SUM(-AK65,AL65)+Tabla3[[#This Row],[Saldo31]]</f>
        <v>-4.5095896064140106E-4</v>
      </c>
      <c r="AN65" s="128">
        <f t="shared" si="3"/>
        <v>-4.5095896064140106E-4</v>
      </c>
      <c r="AO65" s="29"/>
      <c r="AP65" s="106" t="s">
        <v>12</v>
      </c>
    </row>
    <row r="66" spans="1:42" ht="16.149999999999999" thickBot="1" x14ac:dyDescent="0.5">
      <c r="A66" s="312"/>
      <c r="B66" s="16" t="s">
        <v>6</v>
      </c>
      <c r="C66" s="116">
        <v>101</v>
      </c>
      <c r="D66" s="118">
        <f>SUM('Ene 25'!L63)-('Pago Cuota MC 2024'!F63)</f>
        <v>331.3819547397182</v>
      </c>
      <c r="E66" s="108">
        <f>SUM('Pago Cuota MC 2025'!F63)</f>
        <v>331.38</v>
      </c>
      <c r="F66" s="119">
        <f t="shared" si="2"/>
        <v>-1.9547397182009263E-3</v>
      </c>
      <c r="G66" s="118">
        <f>SUM('Feb 25'!L63)</f>
        <v>389.44911319424671</v>
      </c>
      <c r="H66" s="108">
        <f>SUM('Pago Cuota MC 2025'!G63)</f>
        <v>389.45</v>
      </c>
      <c r="I66" s="119">
        <f>SUM(-G66,H66)+Tabla3[[#This Row],[Saldo]]</f>
        <v>-1.0679339649186659E-3</v>
      </c>
      <c r="J66" s="118">
        <f>SUM('Mar 25'!L63)</f>
        <v>411.92845643947652</v>
      </c>
      <c r="K66" s="108">
        <f>SUM('Pago Cuota MC 2025'!H63)</f>
        <v>411.93</v>
      </c>
      <c r="L66" s="119">
        <f>SUM(-J66,K66)+Tabla3[[#This Row],[Saldo4]]</f>
        <v>4.75626558568365E-4</v>
      </c>
      <c r="M66" s="122">
        <f>SUM('Abr 25'!L63)</f>
        <v>395.23697422747614</v>
      </c>
      <c r="N66" s="108">
        <f>SUM('Pago Cuota MC 2025'!I63)</f>
        <v>395.24</v>
      </c>
      <c r="O66" s="119">
        <f>SUM(-M66,N66)+Tabla3[[#This Row],[Saldo7]]</f>
        <v>3.5013990824381835E-3</v>
      </c>
      <c r="P66" s="122">
        <f>SUM('May 25'!L63)</f>
        <v>443.82239055555556</v>
      </c>
      <c r="Q66" s="108">
        <f>SUM('Pago Cuota MC 2025'!J63)</f>
        <v>443.82</v>
      </c>
      <c r="R66" s="119">
        <f>SUM(-P66,Q66)+Tabla3[[#This Row],[Saldo13]]</f>
        <v>1.1108435268738504E-3</v>
      </c>
      <c r="S66" s="122">
        <f>SUM('Jun 25'!L63)</f>
        <v>401.78255297247625</v>
      </c>
      <c r="T66" s="108">
        <f>SUM('Pago Cuota MC 2025'!K63)</f>
        <v>401.78</v>
      </c>
      <c r="U66" s="119">
        <f>SUM(-S66,T66)+Tabla3[[#This Row],[Saldo132]]</f>
        <v>-1.4421289494066514E-3</v>
      </c>
      <c r="V66" s="122">
        <f>SUM('Jul 25'!L63)</f>
        <v>391.25664729355935</v>
      </c>
      <c r="W66" s="108">
        <f>SUM('Pago Cuota MC 2025'!L63)</f>
        <v>391.26</v>
      </c>
      <c r="X66" s="119">
        <f>SUM(-V66,W66)+Tabla3[[#This Row],[Saldo16]]</f>
        <v>1.9105774912304696E-3</v>
      </c>
      <c r="Y66" s="122">
        <f>SUM('Ago 25'!L63)</f>
        <v>402.23456226533523</v>
      </c>
      <c r="Z66" s="108">
        <f>SUM('Pago Cuota MC 2025'!M63)</f>
        <v>402.23</v>
      </c>
      <c r="AA66" s="119">
        <f>SUM(-Y66,Z66)+Tabla3[[#This Row],[Saldo19]]</f>
        <v>-2.651687843979289E-3</v>
      </c>
      <c r="AB66" s="122">
        <f>SUM('Sep 25'!L63)</f>
        <v>387.03600706624604</v>
      </c>
      <c r="AC66" s="108">
        <f>SUM('Pago Cuota MC 2025'!N63)</f>
        <v>387.04</v>
      </c>
      <c r="AD66" s="119">
        <f>SUM(-AB66,AC66)+Tabla3[[#This Row],[Saldo22]]</f>
        <v>1.3412459099981788E-3</v>
      </c>
      <c r="AE66" s="122">
        <f>SUM('Oct 25'!L63)</f>
        <v>383.14685652150644</v>
      </c>
      <c r="AF66" s="108">
        <f>SUM('Pago Cuota MC 2025'!O63)</f>
        <v>383.15</v>
      </c>
      <c r="AG66" s="145">
        <f>SUM(-AE66,AF66)+Tabla3[[#This Row],[Saldo25]]</f>
        <v>4.4847244035395306E-3</v>
      </c>
      <c r="AH66" s="122">
        <f>SUM('Nov 25'!L63)</f>
        <v>374.7877618222596</v>
      </c>
      <c r="AI66" s="108">
        <f>SUM('Pago Cuota MC 2025'!P63)</f>
        <v>374.78</v>
      </c>
      <c r="AJ66" s="119">
        <f>SUM(-AH66,AI66)+Tabla3[[#This Row],[Saldo28]]</f>
        <v>-3.2770978560847652E-3</v>
      </c>
      <c r="AK66" s="122">
        <f>SUM('Dic 25'!L63)</f>
        <v>389.50159967115167</v>
      </c>
      <c r="AL66" s="108">
        <f>SUM('Pago Cuota MC 2025'!Q63)</f>
        <v>389.5</v>
      </c>
      <c r="AM66" s="145">
        <f>SUM(-AK66,AL66)+Tabla3[[#This Row],[Saldo31]]</f>
        <v>-4.8767690077511361E-3</v>
      </c>
      <c r="AN66" s="128">
        <f t="shared" si="3"/>
        <v>-4.8767690077511361E-3</v>
      </c>
      <c r="AO66" s="29"/>
      <c r="AP66" s="106" t="s">
        <v>12</v>
      </c>
    </row>
    <row r="67" spans="1:42" ht="16.149999999999999" thickBot="1" x14ac:dyDescent="0.5">
      <c r="A67" s="312"/>
      <c r="B67" s="16" t="s">
        <v>6</v>
      </c>
      <c r="C67" s="116">
        <v>102</v>
      </c>
      <c r="D67" s="118">
        <f>SUM('Ene 25'!L64)-('Pago Cuota MC 2024'!F64)</f>
        <v>314.23610726548981</v>
      </c>
      <c r="E67" s="108">
        <f>SUM('Pago Cuota MC 2025'!F64)</f>
        <v>314.24</v>
      </c>
      <c r="F67" s="119">
        <f t="shared" si="2"/>
        <v>3.8927345102024447E-3</v>
      </c>
      <c r="G67" s="118">
        <f>SUM('Feb 25'!L64)</f>
        <v>402.6311537809741</v>
      </c>
      <c r="H67" s="108">
        <f>SUM('Pago Cuota MC 2025'!G64)</f>
        <v>402.63</v>
      </c>
      <c r="I67" s="119">
        <f>SUM(-G67,H67)+Tabla3[[#This Row],[Saldo]]</f>
        <v>2.7389535360953232E-3</v>
      </c>
      <c r="J67" s="118">
        <f>SUM('Mar 25'!L64)</f>
        <v>358.33249689749175</v>
      </c>
      <c r="K67" s="108">
        <f>SUM('Pago Cuota MC 2025'!H64)</f>
        <v>358.33</v>
      </c>
      <c r="L67" s="119">
        <f>SUM(-J67,K67)+Tabla3[[#This Row],[Saldo4]]</f>
        <v>2.4205604432836481E-4</v>
      </c>
      <c r="M67" s="122">
        <f>SUM('Abr 25'!L64)</f>
        <v>335.84799684860866</v>
      </c>
      <c r="N67" s="108">
        <f>SUM('Pago Cuota MC 2025'!I64)</f>
        <v>335.85</v>
      </c>
      <c r="O67" s="119">
        <f>SUM(-M67,N67)+Tabla3[[#This Row],[Saldo7]]</f>
        <v>2.2452074356920093E-3</v>
      </c>
      <c r="P67" s="122">
        <f>SUM('May 25'!L64)</f>
        <v>363.7846096031746</v>
      </c>
      <c r="Q67" s="108">
        <f>SUM('Pago Cuota MC 2025'!J64)</f>
        <v>363.78</v>
      </c>
      <c r="R67" s="119">
        <f>SUM(-P67,Q67)+Tabla3[[#This Row],[Saldo13]]</f>
        <v>-2.3643957389367642E-3</v>
      </c>
      <c r="S67" s="122">
        <f>SUM('Jun 25'!L64)</f>
        <v>354.21732949211048</v>
      </c>
      <c r="T67" s="108">
        <f>SUM('Pago Cuota MC 2025'!K64)</f>
        <v>354.22</v>
      </c>
      <c r="U67" s="119">
        <f>SUM(-S67,T67)+Tabla3[[#This Row],[Saldo132]]</f>
        <v>3.0611215061071562E-4</v>
      </c>
      <c r="V67" s="122">
        <f>SUM('Jul 25'!L64)</f>
        <v>373.6554435846524</v>
      </c>
      <c r="W67" s="108">
        <f>SUM('Pago Cuota MC 2025'!L64)</f>
        <v>373.66</v>
      </c>
      <c r="X67" s="119">
        <f>SUM(-V67,W67)+Tabla3[[#This Row],[Saldo16]]</f>
        <v>4.8625274982327937E-3</v>
      </c>
      <c r="Y67" s="122">
        <f>SUM('Ago 25'!L64)</f>
        <v>333.38010668758915</v>
      </c>
      <c r="Z67" s="108">
        <f>SUM('Pago Cuota MC 2025'!M64)</f>
        <v>333.4</v>
      </c>
      <c r="AA67" s="119">
        <f>SUM(-Y67,Z67)+Tabla3[[#This Row],[Saldo19]]</f>
        <v>2.4755839909062161E-2</v>
      </c>
      <c r="AB67" s="122">
        <f>SUM('Sep 25'!L64)</f>
        <v>322.89320580441637</v>
      </c>
      <c r="AC67" s="108">
        <f>SUM('Pago Cuota MC 2025'!N64)</f>
        <v>322.87</v>
      </c>
      <c r="AD67" s="119">
        <f>SUM(-AB67,AC67)+Tabla3[[#This Row],[Saldo22]]</f>
        <v>1.5500354926984983E-3</v>
      </c>
      <c r="AE67" s="122">
        <f>SUM('Oct 25'!L64)</f>
        <v>319.29117650946552</v>
      </c>
      <c r="AF67" s="108">
        <f>SUM('Pago Cuota MC 2025'!O64)</f>
        <v>319.29000000000002</v>
      </c>
      <c r="AG67" s="145">
        <f>SUM(-AE67,AF67)+Tabla3[[#This Row],[Saldo25]]</f>
        <v>3.7352602720375216E-4</v>
      </c>
      <c r="AH67" s="122">
        <f>SUM('Nov 25'!L64)</f>
        <v>364.01019369778521</v>
      </c>
      <c r="AI67" s="108">
        <f>SUM('Pago Cuota MC 2025'!P64)</f>
        <v>364.01</v>
      </c>
      <c r="AJ67" s="119">
        <f>SUM(-AH67,AI67)+Tabla3[[#This Row],[Saldo28]]</f>
        <v>1.7982824198270464E-4</v>
      </c>
      <c r="AK67" s="122">
        <f>SUM('Dic 25'!L64)</f>
        <v>380.50881714419563</v>
      </c>
      <c r="AL67" s="108">
        <f>SUM('Pago Cuota MC 2025'!Q64)</f>
        <v>380.51</v>
      </c>
      <c r="AM67" s="145">
        <f>SUM(-AK67,AL67)+Tabla3[[#This Row],[Saldo31]]</f>
        <v>1.3626840463416556E-3</v>
      </c>
      <c r="AN67" s="128">
        <f t="shared" si="3"/>
        <v>1.3626840463416556E-3</v>
      </c>
      <c r="AO67" s="29"/>
      <c r="AP67" s="106" t="s">
        <v>12</v>
      </c>
    </row>
    <row r="68" spans="1:42" ht="16.149999999999999" thickBot="1" x14ac:dyDescent="0.5">
      <c r="A68" s="312"/>
      <c r="B68" s="16" t="s">
        <v>6</v>
      </c>
      <c r="C68" s="116">
        <v>103</v>
      </c>
      <c r="D68" s="118">
        <f>SUM('Ene 25'!L65)-('Pago Cuota MC 2024'!F65)</f>
        <v>223.551893483257</v>
      </c>
      <c r="E68" s="108">
        <f>SUM('Pago Cuota MC 2025'!F65)</f>
        <v>0</v>
      </c>
      <c r="F68" s="119">
        <f t="shared" si="2"/>
        <v>-223.551893483257</v>
      </c>
      <c r="G68" s="118">
        <f>SUM('Feb 25'!L65)</f>
        <v>402.7729739176873</v>
      </c>
      <c r="H68" s="108">
        <f>SUM('Pago Cuota MC 2025'!G65)</f>
        <v>450</v>
      </c>
      <c r="I68" s="119">
        <f>SUM(-G68,H68)+Tabla3[[#This Row],[Saldo]]</f>
        <v>-176.3248674009443</v>
      </c>
      <c r="J68" s="118">
        <f>SUM('Mar 25'!L65)</f>
        <v>404.81725191384947</v>
      </c>
      <c r="K68" s="108">
        <f>SUM('Pago Cuota MC 2025'!H65)</f>
        <v>369.76</v>
      </c>
      <c r="L68" s="119">
        <f>SUM(-J68,K68)+Tabla3[[#This Row],[Saldo4]]</f>
        <v>-211.38211931479378</v>
      </c>
      <c r="M68" s="122">
        <f>SUM('Abr 25'!L65)</f>
        <v>390.08898070733608</v>
      </c>
      <c r="N68" s="108">
        <f>SUM('Pago Cuota MC 2025'!I65)</f>
        <v>500</v>
      </c>
      <c r="O68" s="119">
        <f>SUM(-M68,N68)+Tabla3[[#This Row],[Saldo7]]</f>
        <v>-101.47110002212986</v>
      </c>
      <c r="P68" s="122">
        <f>SUM('May 25'!L65)</f>
        <v>398.52745960317463</v>
      </c>
      <c r="Q68" s="108">
        <f>SUM('Pago Cuota MC 2025'!J65)</f>
        <v>250</v>
      </c>
      <c r="R68" s="119">
        <f>SUM(-P68,Q68)+Tabla3[[#This Row],[Saldo13]]</f>
        <v>-249.99855962530449</v>
      </c>
      <c r="S68" s="122">
        <f>SUM('Jun 25'!L65)</f>
        <v>393.00396254751661</v>
      </c>
      <c r="T68" s="108">
        <f>SUM('Pago Cuota MC 2025'!K65)</f>
        <v>0</v>
      </c>
      <c r="U68" s="119">
        <f>SUM(-S68,T68)+Tabla3[[#This Row],[Saldo132]]</f>
        <v>-643.00252217282105</v>
      </c>
      <c r="V68" s="122">
        <f>SUM('Jul 25'!L65)</f>
        <v>374.87851163747621</v>
      </c>
      <c r="W68" s="108">
        <f>SUM('Pago Cuota MC 2025'!L65)</f>
        <v>1000</v>
      </c>
      <c r="X68" s="119">
        <f>SUM(-V68,W68)+Tabla3[[#This Row],[Saldo16]]</f>
        <v>-17.881033810297254</v>
      </c>
      <c r="Y68" s="122">
        <f>SUM('Ago 25'!L65)</f>
        <v>376.87866543223964</v>
      </c>
      <c r="Z68" s="108">
        <f>SUM('Pago Cuota MC 2025'!M65)</f>
        <v>300</v>
      </c>
      <c r="AA68" s="119">
        <f>SUM(-Y68,Z68)+Tabla3[[#This Row],[Saldo19]]</f>
        <v>-94.759699242536897</v>
      </c>
      <c r="AB68" s="122">
        <f>SUM('Sep 25'!L65)</f>
        <v>381.64513766561515</v>
      </c>
      <c r="AC68" s="108">
        <f>SUM('Pago Cuota MC 2025'!N65)</f>
        <v>500</v>
      </c>
      <c r="AD68" s="119">
        <f>SUM(-AB68,AC68)+Tabla3[[#This Row],[Saldo22]]</f>
        <v>23.595163091847951</v>
      </c>
      <c r="AE68" s="122">
        <f>SUM('Oct 25'!L65)</f>
        <v>377.78011817111508</v>
      </c>
      <c r="AF68" s="108">
        <f>SUM('Pago Cuota MC 2025'!O65)</f>
        <v>300</v>
      </c>
      <c r="AG68" s="145">
        <f>SUM(-AE68,AF68)+Tabla3[[#This Row],[Saldo25]]</f>
        <v>-54.184955079267127</v>
      </c>
      <c r="AH68" s="122">
        <f>SUM('Nov 25'!L65)</f>
        <v>395.62884416035882</v>
      </c>
      <c r="AI68" s="108">
        <f>SUM('Pago Cuota MC 2025'!P65)</f>
        <v>0</v>
      </c>
      <c r="AJ68" s="119">
        <f>SUM(-AH68,AI68)+Tabla3[[#This Row],[Saldo28]]</f>
        <v>-449.81379923962595</v>
      </c>
      <c r="AK68" s="122">
        <f>SUM('Dic 25'!L65)</f>
        <v>385.30391971538722</v>
      </c>
      <c r="AL68" s="108">
        <f>SUM('Pago Cuota MC 2025'!Q65)</f>
        <v>0</v>
      </c>
      <c r="AM68" s="145">
        <f>SUM(-AK68,AL68)+Tabla3[[#This Row],[Saldo31]]</f>
        <v>-835.11771895501317</v>
      </c>
      <c r="AN68" s="128">
        <f t="shared" si="3"/>
        <v>-835.11771895501317</v>
      </c>
      <c r="AO68" s="29"/>
      <c r="AP68" s="106">
        <f>SUM(Tabla3[[#This Row],[Saldo Anual]])</f>
        <v>-835.11771895501317</v>
      </c>
    </row>
    <row r="69" spans="1:42" ht="16.149999999999999" thickBot="1" x14ac:dyDescent="0.5">
      <c r="A69" s="312"/>
      <c r="B69" s="16" t="s">
        <v>6</v>
      </c>
      <c r="C69" s="116">
        <v>104</v>
      </c>
      <c r="D69" s="118">
        <f>SUM('Ene 25'!L66)-('Pago Cuota MC 2024'!F66)</f>
        <v>298.60604467058488</v>
      </c>
      <c r="E69" s="108">
        <f>SUM('Pago Cuota MC 2025'!F66)</f>
        <v>400</v>
      </c>
      <c r="F69" s="119">
        <f t="shared" si="2"/>
        <v>101.39395532941512</v>
      </c>
      <c r="G69" s="118">
        <f>SUM('Feb 25'!L66)</f>
        <v>395.1387806679009</v>
      </c>
      <c r="H69" s="108">
        <f>SUM('Pago Cuota MC 2025'!G66)</f>
        <v>400</v>
      </c>
      <c r="I69" s="119">
        <f>SUM(-G69,H69)+Tabla3[[#This Row],[Saldo]]</f>
        <v>106.25517466151422</v>
      </c>
      <c r="J69" s="118">
        <f>SUM('Mar 25'!L66)</f>
        <v>393.38115404034892</v>
      </c>
      <c r="K69" s="108">
        <f>SUM('Pago Cuota MC 2025'!H66)</f>
        <v>300</v>
      </c>
      <c r="L69" s="119">
        <f>SUM(-J69,K69)+Tabla3[[#This Row],[Saldo4]]</f>
        <v>12.8740206211653</v>
      </c>
      <c r="M69" s="122">
        <f>SUM('Abr 25'!L66)</f>
        <v>393.12247451936173</v>
      </c>
      <c r="N69" s="108">
        <f>SUM('Pago Cuota MC 2025'!I66)</f>
        <v>400</v>
      </c>
      <c r="O69" s="119">
        <f>SUM(-M69,N69)+Tabla3[[#This Row],[Saldo7]]</f>
        <v>19.751546101803569</v>
      </c>
      <c r="P69" s="122">
        <f>SUM('May 25'!L66)</f>
        <v>416.98537031746031</v>
      </c>
      <c r="Q69" s="108">
        <f>SUM('Pago Cuota MC 2025'!J66)</f>
        <v>400</v>
      </c>
      <c r="R69" s="119">
        <f>SUM(-P69,Q69)+Tabla3[[#This Row],[Saldo13]]</f>
        <v>2.7661757843432611</v>
      </c>
      <c r="S69" s="122">
        <f>SUM('Jun 25'!L66)</f>
        <v>409.23405504348216</v>
      </c>
      <c r="T69" s="108">
        <f>SUM('Pago Cuota MC 2025'!K66)</f>
        <v>420</v>
      </c>
      <c r="U69" s="119">
        <f>SUM(-S69,T69)+Tabla3[[#This Row],[Saldo132]]</f>
        <v>13.532120740861103</v>
      </c>
      <c r="V69" s="122">
        <f>SUM('Jul 25'!L66)</f>
        <v>411.0923022528176</v>
      </c>
      <c r="W69" s="108">
        <f>SUM('Pago Cuota MC 2025'!L66)</f>
        <v>400</v>
      </c>
      <c r="X69" s="119">
        <f>SUM(-V69,W69)+Tabla3[[#This Row],[Saldo16]]</f>
        <v>2.4398184880434997</v>
      </c>
      <c r="Y69" s="122">
        <f>SUM('Ago 25'!L66)</f>
        <v>409.2768062596291</v>
      </c>
      <c r="Z69" s="108">
        <f>SUM('Pago Cuota MC 2025'!M66)</f>
        <v>410</v>
      </c>
      <c r="AA69" s="119">
        <f>SUM(-Y69,Z69)+Tabla3[[#This Row],[Saldo19]]</f>
        <v>3.1630122284144022</v>
      </c>
      <c r="AB69" s="122">
        <f>SUM('Sep 25'!L66)</f>
        <v>410.34724492113565</v>
      </c>
      <c r="AC69" s="108">
        <f>SUM('Pago Cuota MC 2025'!N66)</f>
        <v>410</v>
      </c>
      <c r="AD69" s="119">
        <f>SUM(-AB69,AC69)+Tabla3[[#This Row],[Saldo22]]</f>
        <v>2.8157673072787475</v>
      </c>
      <c r="AE69" s="122">
        <f>SUM('Oct 25'!L66)</f>
        <v>406.35374670814099</v>
      </c>
      <c r="AF69" s="108">
        <f>SUM('Pago Cuota MC 2025'!O66)</f>
        <v>410</v>
      </c>
      <c r="AG69" s="145">
        <f>SUM(-AE69,AF69)+Tabla3[[#This Row],[Saldo25]]</f>
        <v>6.4620205991377588</v>
      </c>
      <c r="AH69" s="122">
        <f>SUM('Nov 25'!L66)</f>
        <v>429.62831564900478</v>
      </c>
      <c r="AI69" s="108">
        <f>SUM('Pago Cuota MC 2025'!P66)</f>
        <v>430</v>
      </c>
      <c r="AJ69" s="119">
        <f>SUM(-AH69,AI69)+Tabla3[[#This Row],[Saldo28]]</f>
        <v>6.833704950132983</v>
      </c>
      <c r="AK69" s="122">
        <f>SUM('Dic 25'!L66)</f>
        <v>420.85449574524625</v>
      </c>
      <c r="AL69" s="108">
        <f>SUM('Pago Cuota MC 2025'!Q66)</f>
        <v>450</v>
      </c>
      <c r="AM69" s="145">
        <f>SUM(-AK69,AL69)+Tabla3[[#This Row],[Saldo31]]</f>
        <v>35.979209204886729</v>
      </c>
      <c r="AN69" s="128">
        <f t="shared" si="3"/>
        <v>35.979209204886729</v>
      </c>
      <c r="AO69" s="29"/>
      <c r="AP69" s="106" t="s">
        <v>12</v>
      </c>
    </row>
    <row r="70" spans="1:42" ht="16.149999999999999" thickBot="1" x14ac:dyDescent="0.5">
      <c r="A70" s="312"/>
      <c r="B70" s="16" t="s">
        <v>6</v>
      </c>
      <c r="C70" s="116">
        <v>201</v>
      </c>
      <c r="D70" s="118">
        <f>SUM('Ene 25'!L67)-('Pago Cuota MC 2024'!F67)</f>
        <v>324.56049166296435</v>
      </c>
      <c r="E70" s="108">
        <f>SUM('Pago Cuota MC 2025'!F67)</f>
        <v>324.56</v>
      </c>
      <c r="F70" s="119">
        <f t="shared" ref="F70:F101" si="4">SUM(-D70,E70)</f>
        <v>-4.9166296435032564E-4</v>
      </c>
      <c r="G70" s="118">
        <f>SUM('Feb 25'!L67)</f>
        <v>359.17460764027345</v>
      </c>
      <c r="H70" s="108">
        <f>SUM('Pago Cuota MC 2025'!G67)</f>
        <v>359.18</v>
      </c>
      <c r="I70" s="119">
        <f>SUM(-G70,H70)+Tabla3[[#This Row],[Saldo]]</f>
        <v>4.9006967622062803E-3</v>
      </c>
      <c r="J70" s="118">
        <f>SUM('Mar 25'!L67)</f>
        <v>362.20405938386034</v>
      </c>
      <c r="K70" s="108">
        <f>SUM('Pago Cuota MC 2025'!H67)</f>
        <v>362.2</v>
      </c>
      <c r="L70" s="119">
        <f>SUM(-J70,K70)+Tabla3[[#This Row],[Saldo4]]</f>
        <v>8.4131290185496255E-4</v>
      </c>
      <c r="M70" s="122">
        <f>SUM('Abr 25'!L67)</f>
        <v>357.67207364370495</v>
      </c>
      <c r="N70" s="108">
        <f>SUM('Pago Cuota MC 2025'!I67)</f>
        <v>357.67</v>
      </c>
      <c r="O70" s="119">
        <f>SUM(-M70,N70)+Tabla3[[#This Row],[Saldo7]]</f>
        <v>-1.232330803077275E-3</v>
      </c>
      <c r="P70" s="122">
        <f>SUM('May 25'!L67)</f>
        <v>377.87188460317464</v>
      </c>
      <c r="Q70" s="108">
        <f>SUM('Pago Cuota MC 2025'!J67)</f>
        <v>377.87</v>
      </c>
      <c r="R70" s="119">
        <f>SUM(-P70,Q70)+Tabla3[[#This Row],[Saldo13]]</f>
        <v>-3.1169339777079585E-3</v>
      </c>
      <c r="S70" s="122">
        <f>SUM('Jun 25'!L67)</f>
        <v>362.44527728662365</v>
      </c>
      <c r="T70" s="108">
        <f>SUM('Pago Cuota MC 2025'!K67)</f>
        <v>362.45</v>
      </c>
      <c r="U70" s="119">
        <f>SUM(-S70,T70)+Tabla3[[#This Row],[Saldo132]]</f>
        <v>1.6057793986306024E-3</v>
      </c>
      <c r="V70" s="122">
        <f>SUM('Jul 25'!L67)</f>
        <v>357.36354990665296</v>
      </c>
      <c r="W70" s="108">
        <f>SUM('Pago Cuota MC 2025'!L67)</f>
        <v>357.36</v>
      </c>
      <c r="X70" s="119">
        <f>SUM(-V70,W70)+Tabla3[[#This Row],[Saldo16]]</f>
        <v>-1.944127254319028E-3</v>
      </c>
      <c r="Y70" s="122">
        <f>SUM('Ago 25'!L67)</f>
        <v>341.17701647360911</v>
      </c>
      <c r="Z70" s="108">
        <f>SUM('Pago Cuota MC 2025'!M67)</f>
        <v>360</v>
      </c>
      <c r="AA70" s="119">
        <f>SUM(-Y70,Z70)+Tabla3[[#This Row],[Saldo19]]</f>
        <v>18.821039399136566</v>
      </c>
      <c r="AB70" s="122">
        <f>SUM('Sep 25'!L67)</f>
        <v>354.89663798107256</v>
      </c>
      <c r="AC70" s="108">
        <f>SUM('Pago Cuota MC 2025'!N67)</f>
        <v>500</v>
      </c>
      <c r="AD70" s="119">
        <f>SUM(-AB70,AC70)+Tabla3[[#This Row],[Saldo22]]</f>
        <v>163.92440141806401</v>
      </c>
      <c r="AE70" s="122">
        <f>SUM('Oct 25'!L67)</f>
        <v>351.15135230717772</v>
      </c>
      <c r="AF70" s="108">
        <f>SUM('Pago Cuota MC 2025'!O67)</f>
        <v>187.23</v>
      </c>
      <c r="AG70" s="145">
        <f>SUM(-AE70,AF70)+Tabla3[[#This Row],[Saldo25]]</f>
        <v>3.0491108862804595E-3</v>
      </c>
      <c r="AH70" s="122">
        <f>SUM('Nov 25'!L67)</f>
        <v>370.50849167928232</v>
      </c>
      <c r="AI70" s="108">
        <f>SUM('Pago Cuota MC 2025'!P67)</f>
        <v>367</v>
      </c>
      <c r="AJ70" s="119">
        <f>SUM(-AH70,AI70)+Tabla3[[#This Row],[Saldo28]]</f>
        <v>-3.5054425683960346</v>
      </c>
      <c r="AK70" s="122">
        <f>SUM('Dic 25'!L67)</f>
        <v>366.41042950250363</v>
      </c>
      <c r="AL70" s="108">
        <f>SUM('Pago Cuota MC 2025'!Q67)</f>
        <v>0</v>
      </c>
      <c r="AM70" s="145">
        <f>SUM(-AK70,AL70)+Tabla3[[#This Row],[Saldo31]]</f>
        <v>-369.9158720708997</v>
      </c>
      <c r="AN70" s="128">
        <f t="shared" ref="AN70:AN101" si="5">SUM(AM70)</f>
        <v>-369.9158720708997</v>
      </c>
      <c r="AO70" s="29"/>
      <c r="AP70" s="106">
        <f>SUM(Tabla3[[#This Row],[Saldo Anual]])</f>
        <v>-369.9158720708997</v>
      </c>
    </row>
    <row r="71" spans="1:42" ht="16.149999999999999" thickBot="1" x14ac:dyDescent="0.5">
      <c r="A71" s="312"/>
      <c r="B71" s="16" t="s">
        <v>6</v>
      </c>
      <c r="C71" s="116">
        <v>202</v>
      </c>
      <c r="D71" s="118">
        <f>SUM('Ene 25'!L68)-('Pago Cuota MC 2024'!F68)</f>
        <v>353.31686414121839</v>
      </c>
      <c r="E71" s="108">
        <f>SUM('Pago Cuota MC 2025'!F68)</f>
        <v>353.32</v>
      </c>
      <c r="F71" s="119">
        <f t="shared" si="4"/>
        <v>3.1358587816043837E-3</v>
      </c>
      <c r="G71" s="118">
        <f>SUM('Feb 25'!L68)</f>
        <v>447.57757161065229</v>
      </c>
      <c r="H71" s="108">
        <f>SUM('Pago Cuota MC 2025'!G68)</f>
        <v>447.57</v>
      </c>
      <c r="I71" s="119">
        <f>SUM(-G71,H71)+Tabla3[[#This Row],[Saldo]]</f>
        <v>-4.4357518706874544E-3</v>
      </c>
      <c r="J71" s="118">
        <f>SUM('Mar 25'!L68)</f>
        <v>400.72295851145032</v>
      </c>
      <c r="K71" s="108">
        <f>SUM('Pago Cuota MC 2025'!H68)</f>
        <v>400.73</v>
      </c>
      <c r="L71" s="119">
        <f>SUM(-J71,K71)+Tabla3[[#This Row],[Saldo4]]</f>
        <v>2.6057366790155356E-3</v>
      </c>
      <c r="M71" s="122">
        <f>SUM('Abr 25'!L68)</f>
        <v>373.2177128439385</v>
      </c>
      <c r="N71" s="108">
        <f>SUM('Pago Cuota MC 2025'!I68)</f>
        <v>373.22</v>
      </c>
      <c r="O71" s="119">
        <f>SUM(-M71,N71)+Tabla3[[#This Row],[Saldo7]]</f>
        <v>4.8928927405427203E-3</v>
      </c>
      <c r="P71" s="122">
        <f>SUM('May 25'!L68)</f>
        <v>461.23497031746035</v>
      </c>
      <c r="Q71" s="108">
        <f>SUM('Pago Cuota MC 2025'!J68)</f>
        <v>461.23</v>
      </c>
      <c r="R71" s="119">
        <f>SUM(-P71,Q71)+Tabla3[[#This Row],[Saldo13]]</f>
        <v>-7.7424719790997187E-5</v>
      </c>
      <c r="S71" s="122">
        <f>SUM('Jun 25'!L68)</f>
        <v>464.61523470996951</v>
      </c>
      <c r="T71" s="108">
        <f>SUM('Pago Cuota MC 2025'!K68)</f>
        <v>464.62</v>
      </c>
      <c r="U71" s="119">
        <f>SUM(-S71,T71)+Tabla3[[#This Row],[Saldo132]]</f>
        <v>4.68786531070009E-3</v>
      </c>
      <c r="V71" s="122">
        <f>SUM('Jul 25'!L68)</f>
        <v>456.7221488389373</v>
      </c>
      <c r="W71" s="108">
        <f>SUM('Pago Cuota MC 2025'!L68)</f>
        <v>456.72</v>
      </c>
      <c r="X71" s="119">
        <f>SUM(-V71,W71)+Tabla3[[#This Row],[Saldo16]]</f>
        <v>2.5390263734266227E-3</v>
      </c>
      <c r="Y71" s="122">
        <f>SUM('Ago 25'!L68)</f>
        <v>477.50172198002861</v>
      </c>
      <c r="Z71" s="108">
        <f>SUM('Pago Cuota MC 2025'!M68)</f>
        <v>477.5</v>
      </c>
      <c r="AA71" s="119">
        <f>SUM(-Y71,Z71)+Tabla3[[#This Row],[Saldo19]]</f>
        <v>8.1704634482093752E-4</v>
      </c>
      <c r="AB71" s="122">
        <f>SUM('Sep 25'!L68)</f>
        <v>480.05569160883283</v>
      </c>
      <c r="AC71" s="108">
        <f>SUM('Pago Cuota MC 2025'!N68)</f>
        <v>480.05</v>
      </c>
      <c r="AD71" s="119">
        <f>SUM(-AB71,AC71)+Tabla3[[#This Row],[Saldo22]]</f>
        <v>-4.8745624879984462E-3</v>
      </c>
      <c r="AE71" s="122">
        <f>SUM('Oct 25'!L68)</f>
        <v>475.75015874908024</v>
      </c>
      <c r="AF71" s="108">
        <f>SUM('Pago Cuota MC 2025'!O68)</f>
        <v>475.76</v>
      </c>
      <c r="AG71" s="145">
        <f>SUM(-AE71,AF71)+Tabla3[[#This Row],[Saldo25]]</f>
        <v>4.9666884317502991E-3</v>
      </c>
      <c r="AH71" s="122">
        <f>SUM('Nov 25'!L68)</f>
        <v>459.7896278441267</v>
      </c>
      <c r="AI71" s="108">
        <f>SUM('Pago Cuota MC 2025'!P68)</f>
        <v>459.78</v>
      </c>
      <c r="AJ71" s="119">
        <f>SUM(-AH71,AI71)+Tabla3[[#This Row],[Saldo28]]</f>
        <v>-4.661155694975605E-3</v>
      </c>
      <c r="AK71" s="122">
        <f>SUM('Dic 25'!L68)</f>
        <v>463.51911739302062</v>
      </c>
      <c r="AL71" s="108">
        <f>SUM('Pago Cuota MC 2025'!Q68)</f>
        <v>463.52</v>
      </c>
      <c r="AM71" s="145">
        <f>SUM(-AK71,AL71)+Tabla3[[#This Row],[Saldo31]]</f>
        <v>-3.7785487156156705E-3</v>
      </c>
      <c r="AN71" s="128">
        <f t="shared" si="5"/>
        <v>-3.7785487156156705E-3</v>
      </c>
      <c r="AO71" s="29"/>
      <c r="AP71" s="106" t="s">
        <v>12</v>
      </c>
    </row>
    <row r="72" spans="1:42" ht="16.149999999999999" thickBot="1" x14ac:dyDescent="0.5">
      <c r="A72" s="312"/>
      <c r="B72" s="16" t="s">
        <v>6</v>
      </c>
      <c r="C72" s="116">
        <v>203</v>
      </c>
      <c r="D72" s="118">
        <f>SUM('Ene 25'!L69)-('Pago Cuota MC 2024'!F69)</f>
        <v>312.54617318884823</v>
      </c>
      <c r="E72" s="108">
        <f>SUM('Pago Cuota MC 2025'!F69)</f>
        <v>312.55</v>
      </c>
      <c r="F72" s="119">
        <f t="shared" si="4"/>
        <v>3.8268111517822945E-3</v>
      </c>
      <c r="G72" s="118">
        <f>SUM('Feb 25'!L69)</f>
        <v>326.23319265878672</v>
      </c>
      <c r="H72" s="108">
        <f>SUM('Pago Cuota MC 2025'!G69)</f>
        <v>326.23</v>
      </c>
      <c r="I72" s="119">
        <f>SUM(-G72,H72)+Tabla3[[#This Row],[Saldo]]</f>
        <v>6.3415236508035377E-4</v>
      </c>
      <c r="J72" s="118">
        <f>SUM('Mar 25'!L69)</f>
        <v>332.68339542529986</v>
      </c>
      <c r="K72" s="108">
        <f>SUM('Pago Cuota MC 2025'!H69)</f>
        <v>332.68</v>
      </c>
      <c r="L72" s="119">
        <f>SUM(-J72,K72)+Tabla3[[#This Row],[Saldo4]]</f>
        <v>-2.7612729347765708E-3</v>
      </c>
      <c r="M72" s="122">
        <f>SUM('Abr 25'!L69)</f>
        <v>322.44125543004475</v>
      </c>
      <c r="N72" s="108">
        <f>SUM('Pago Cuota MC 2025'!I69)</f>
        <v>322.44</v>
      </c>
      <c r="O72" s="119">
        <f>SUM(-M72,N72)+Tabla3[[#This Row],[Saldo7]]</f>
        <v>-4.0167029795270537E-3</v>
      </c>
      <c r="P72" s="122">
        <f>SUM('May 25'!L69)</f>
        <v>346.48726317460319</v>
      </c>
      <c r="Q72" s="108">
        <f>SUM('Pago Cuota MC 2025'!J69)</f>
        <v>346.49</v>
      </c>
      <c r="R72" s="119">
        <f>SUM(-P72,Q72)+Tabla3[[#This Row],[Saldo13]]</f>
        <v>-1.2798775827036479E-3</v>
      </c>
      <c r="S72" s="122">
        <f>SUM('Jun 25'!L69)</f>
        <v>342.14280620001796</v>
      </c>
      <c r="T72" s="108">
        <f>SUM('Pago Cuota MC 2025'!K69)</f>
        <v>342.14</v>
      </c>
      <c r="U72" s="119">
        <f>SUM(-S72,T72)+Tabla3[[#This Row],[Saldo132]]</f>
        <v>-4.0860776006752531E-3</v>
      </c>
      <c r="V72" s="122">
        <f>SUM('Jul 25'!L69)</f>
        <v>334.77991191845399</v>
      </c>
      <c r="W72" s="108">
        <f>SUM('Pago Cuota MC 2025'!L69)</f>
        <v>334.78</v>
      </c>
      <c r="X72" s="119">
        <f>SUM(-V72,W72)+Tabla3[[#This Row],[Saldo16]]</f>
        <v>-3.997996054692976E-3</v>
      </c>
      <c r="Y72" s="122">
        <f>SUM('Ago 25'!L69)</f>
        <v>333.29799279315262</v>
      </c>
      <c r="Z72" s="108">
        <f>SUM('Pago Cuota MC 2025'!M69)</f>
        <v>333.33</v>
      </c>
      <c r="AA72" s="119">
        <f>SUM(-Y72,Z72)+Tabla3[[#This Row],[Saldo19]]</f>
        <v>2.8009210792674821E-2</v>
      </c>
      <c r="AB72" s="122">
        <f>SUM('Sep 25'!L69)</f>
        <v>328.51322599369081</v>
      </c>
      <c r="AC72" s="108">
        <f>SUM('Pago Cuota MC 2025'!N69)</f>
        <v>328.49</v>
      </c>
      <c r="AD72" s="119">
        <f>SUM(-AB72,AC72)+Tabla3[[#This Row],[Saldo22]]</f>
        <v>4.7832171018740155E-3</v>
      </c>
      <c r="AE72" s="122">
        <f>SUM('Oct 25'!L69)</f>
        <v>324.88603990501036</v>
      </c>
      <c r="AF72" s="108">
        <f>SUM('Pago Cuota MC 2025'!O69)</f>
        <v>324.88</v>
      </c>
      <c r="AG72" s="145">
        <f>SUM(-AE72,AF72)+Tabla3[[#This Row],[Saldo25]]</f>
        <v>-1.2566879084943139E-3</v>
      </c>
      <c r="AH72" s="122">
        <f>SUM('Nov 25'!L69)</f>
        <v>331.49091632183905</v>
      </c>
      <c r="AI72" s="108">
        <f>SUM('Pago Cuota MC 2025'!P69)</f>
        <v>331.49</v>
      </c>
      <c r="AJ72" s="119">
        <f>SUM(-AH72,AI72)+Tabla3[[#This Row],[Saldo28]]</f>
        <v>-2.1730097475369803E-3</v>
      </c>
      <c r="AK72" s="122">
        <f>SUM('Dic 25'!L69)</f>
        <v>329.54709588348237</v>
      </c>
      <c r="AL72" s="108">
        <f>SUM('Pago Cuota MC 2025'!Q69)</f>
        <v>329.55</v>
      </c>
      <c r="AM72" s="145">
        <f>SUM(-AK72,AL72)+Tabla3[[#This Row],[Saldo31]]</f>
        <v>7.3110677010390646E-4</v>
      </c>
      <c r="AN72" s="128">
        <f t="shared" si="5"/>
        <v>7.3110677010390646E-4</v>
      </c>
      <c r="AO72" s="29"/>
      <c r="AP72" s="106" t="s">
        <v>12</v>
      </c>
    </row>
    <row r="73" spans="1:42" ht="16.149999999999999" thickBot="1" x14ac:dyDescent="0.5">
      <c r="A73" s="312"/>
      <c r="B73" s="16" t="s">
        <v>6</v>
      </c>
      <c r="C73" s="116">
        <v>204</v>
      </c>
      <c r="D73" s="118">
        <f>SUM('Ene 25'!L70)-('Pago Cuota MC 2024'!F70)</f>
        <v>326.30625277824527</v>
      </c>
      <c r="E73" s="108">
        <f>SUM('Pago Cuota MC 2025'!F70)</f>
        <v>326.5</v>
      </c>
      <c r="F73" s="119">
        <f t="shared" si="4"/>
        <v>0.1937472217547338</v>
      </c>
      <c r="G73" s="118">
        <f>SUM('Feb 25'!L70)</f>
        <v>382.30476785103963</v>
      </c>
      <c r="H73" s="108">
        <f>SUM('Pago Cuota MC 2025'!G70)</f>
        <v>382.11</v>
      </c>
      <c r="I73" s="119">
        <f>SUM(-G73,H73)+Tabla3[[#This Row],[Saldo]]</f>
        <v>-1.0206292848806697E-3</v>
      </c>
      <c r="J73" s="118">
        <f>SUM('Mar 25'!L70)</f>
        <v>377.77293413849503</v>
      </c>
      <c r="K73" s="108">
        <f>SUM('Pago Cuota MC 2025'!H70)</f>
        <v>378</v>
      </c>
      <c r="L73" s="119">
        <f>SUM(-J73,K73)+Tabla3[[#This Row],[Saldo4]]</f>
        <v>0.22604523222008766</v>
      </c>
      <c r="M73" s="122">
        <f>SUM('Abr 25'!L70)</f>
        <v>374.14483963903479</v>
      </c>
      <c r="N73" s="108">
        <f>SUM('Pago Cuota MC 2025'!I70)</f>
        <v>373.92</v>
      </c>
      <c r="O73" s="119">
        <f>SUM(-M73,N73)+Tabla3[[#This Row],[Saldo7]]</f>
        <v>1.205593185318321E-3</v>
      </c>
      <c r="P73" s="122">
        <f>SUM('May 25'!L70)</f>
        <v>390.62986079365078</v>
      </c>
      <c r="Q73" s="108">
        <f>SUM('Pago Cuota MC 2025'!J70)</f>
        <v>390.63</v>
      </c>
      <c r="R73" s="119">
        <f>SUM(-P73,Q73)+Tabla3[[#This Row],[Saldo13]]</f>
        <v>1.3447995345359232E-3</v>
      </c>
      <c r="S73" s="122">
        <f>SUM('Jun 25'!L70)</f>
        <v>382.24068177828582</v>
      </c>
      <c r="T73" s="108">
        <f>SUM('Pago Cuota MC 2025'!K70)</f>
        <v>382.24</v>
      </c>
      <c r="U73" s="119">
        <f>SUM(-S73,T73)+Tabla3[[#This Row],[Saldo132]]</f>
        <v>6.6302124872663626E-4</v>
      </c>
      <c r="V73" s="122">
        <f>SUM('Jul 25'!L70)</f>
        <v>379.21413108114018</v>
      </c>
      <c r="W73" s="108">
        <f>SUM('Pago Cuota MC 2025'!L70)</f>
        <v>379.21</v>
      </c>
      <c r="X73" s="119">
        <f>SUM(-V73,W73)+Tabla3[[#This Row],[Saldo16]]</f>
        <v>-3.4680598914746952E-3</v>
      </c>
      <c r="Y73" s="122">
        <f>SUM('Ago 25'!L70)</f>
        <v>374.1359696262482</v>
      </c>
      <c r="Z73" s="108">
        <f>SUM('Pago Cuota MC 2025'!M70)</f>
        <v>374.14</v>
      </c>
      <c r="AA73" s="119">
        <f>SUM(-Y73,Z73)+Tabla3[[#This Row],[Saldo19]]</f>
        <v>5.6231386031413422E-4</v>
      </c>
      <c r="AB73" s="122">
        <f>SUM('Sep 25'!L70)</f>
        <v>375.2988259936908</v>
      </c>
      <c r="AC73" s="108">
        <f>SUM('Pago Cuota MC 2025'!N70)</f>
        <v>375.3</v>
      </c>
      <c r="AD73" s="119">
        <f>SUM(-AB73,AC73)+Tabla3[[#This Row],[Saldo22]]</f>
        <v>1.7363201695275166E-3</v>
      </c>
      <c r="AE73" s="122">
        <f>SUM('Oct 25'!L70)</f>
        <v>371.46221437821924</v>
      </c>
      <c r="AF73" s="108">
        <f>SUM('Pago Cuota MC 2025'!O70)</f>
        <v>371.46</v>
      </c>
      <c r="AG73" s="145">
        <f>SUM(-AE73,AF73)+Tabla3[[#This Row],[Saldo25]]</f>
        <v>-4.7805804973677368E-4</v>
      </c>
      <c r="AH73" s="122">
        <f>SUM('Nov 25'!L70)</f>
        <v>383.63608570787778</v>
      </c>
      <c r="AI73" s="108">
        <f>SUM('Pago Cuota MC 2025'!P70)</f>
        <v>383.64</v>
      </c>
      <c r="AJ73" s="119">
        <f>SUM(-AH73,AI73)+Tabla3[[#This Row],[Saldo28]]</f>
        <v>3.4362340724669593E-3</v>
      </c>
      <c r="AK73" s="122">
        <f>SUM('Dic 25'!L70)</f>
        <v>371.60250367999879</v>
      </c>
      <c r="AL73" s="108">
        <f>SUM('Pago Cuota MC 2025'!Q70)</f>
        <v>371.6</v>
      </c>
      <c r="AM73" s="145">
        <f>SUM(-AK73,AL73)+Tabla3[[#This Row],[Saldo31]]</f>
        <v>9.3255407369952081E-4</v>
      </c>
      <c r="AN73" s="128">
        <f t="shared" si="5"/>
        <v>9.3255407369952081E-4</v>
      </c>
      <c r="AO73" s="29"/>
      <c r="AP73" s="106" t="s">
        <v>12</v>
      </c>
    </row>
    <row r="74" spans="1:42" ht="16.149999999999999" thickBot="1" x14ac:dyDescent="0.5">
      <c r="A74" s="312"/>
      <c r="B74" s="16" t="s">
        <v>6</v>
      </c>
      <c r="C74" s="116">
        <v>301</v>
      </c>
      <c r="D74" s="118">
        <f>SUM('Ene 25'!L71)-('Pago Cuota MC 2024'!F71)</f>
        <v>329.56920787258144</v>
      </c>
      <c r="E74" s="108">
        <f>SUM('Pago Cuota MC 2025'!F71)</f>
        <v>329.57</v>
      </c>
      <c r="F74" s="119">
        <f t="shared" si="4"/>
        <v>7.9212741854917113E-4</v>
      </c>
      <c r="G74" s="118">
        <f>SUM('Feb 25'!L71)</f>
        <v>376.54080231415554</v>
      </c>
      <c r="H74" s="108">
        <f>SUM('Pago Cuota MC 2025'!G71)</f>
        <v>376</v>
      </c>
      <c r="I74" s="119">
        <f>SUM(-G74,H74)+Tabla3[[#This Row],[Saldo]]</f>
        <v>-0.54001018673699264</v>
      </c>
      <c r="J74" s="118">
        <f>SUM('Mar 25'!L71)</f>
        <v>382.73042268811332</v>
      </c>
      <c r="K74" s="108">
        <f>SUM('Pago Cuota MC 2025'!H71)</f>
        <v>383.27</v>
      </c>
      <c r="L74" s="119">
        <f>SUM(-J74,K74)+Tabla3[[#This Row],[Saldo4]]</f>
        <v>-4.3287485033260964E-4</v>
      </c>
      <c r="M74" s="122">
        <f>SUM('Abr 25'!L71)</f>
        <v>376.89368925958354</v>
      </c>
      <c r="N74" s="108">
        <f>SUM('Pago Cuota MC 2025'!I71)</f>
        <v>376.89</v>
      </c>
      <c r="O74" s="119">
        <f>SUM(-M74,N74)+Tabla3[[#This Row],[Saldo7]]</f>
        <v>-4.122134433885094E-3</v>
      </c>
      <c r="P74" s="122">
        <f>SUM('May 25'!L71)</f>
        <v>392.34601436507938</v>
      </c>
      <c r="Q74" s="108">
        <f>SUM('Pago Cuota MC 2025'!J71)</f>
        <v>392.35</v>
      </c>
      <c r="R74" s="119">
        <f>SUM(-P74,Q74)+Tabla3[[#This Row],[Saldo13]]</f>
        <v>-1.3649951324623544E-4</v>
      </c>
      <c r="S74" s="122">
        <f>SUM('Jun 25'!L71)</f>
        <v>378.41787502734445</v>
      </c>
      <c r="T74" s="108">
        <f>SUM('Pago Cuota MC 2025'!K71)</f>
        <v>379</v>
      </c>
      <c r="U74" s="119">
        <f>SUM(-S74,T74)+Tabla3[[#This Row],[Saldo132]]</f>
        <v>0.58198847314230306</v>
      </c>
      <c r="V74" s="122">
        <f>SUM('Jul 25'!L71)</f>
        <v>374.18465572289347</v>
      </c>
      <c r="W74" s="108">
        <f>SUM('Pago Cuota MC 2025'!L71)</f>
        <v>375</v>
      </c>
      <c r="X74" s="119">
        <f>SUM(-V74,W74)+Tabla3[[#This Row],[Saldo16]]</f>
        <v>1.397332750248836</v>
      </c>
      <c r="Y74" s="122">
        <f>SUM('Ago 25'!L71)</f>
        <v>368.16120625962913</v>
      </c>
      <c r="Z74" s="108">
        <f>SUM('Pago Cuota MC 2025'!M71)</f>
        <v>367</v>
      </c>
      <c r="AA74" s="119">
        <f>SUM(-Y74,Z74)+Tabla3[[#This Row],[Saldo19]]</f>
        <v>0.23612649061971069</v>
      </c>
      <c r="AB74" s="122">
        <f>SUM('Sep 25'!L71)</f>
        <v>367.02609413249206</v>
      </c>
      <c r="AC74" s="108">
        <f>SUM('Pago Cuota MC 2025'!N71)</f>
        <v>366.79</v>
      </c>
      <c r="AD74" s="119">
        <f>SUM(-AB74,AC74)+Tabla3[[#This Row],[Saldo22]]</f>
        <v>3.2358127668885572E-5</v>
      </c>
      <c r="AE74" s="122">
        <f>SUM('Oct 25'!L71)</f>
        <v>363.22651359555823</v>
      </c>
      <c r="AF74" s="108">
        <f>SUM('Pago Cuota MC 2025'!O71)</f>
        <v>363.23</v>
      </c>
      <c r="AG74" s="145">
        <f>SUM(-AE74,AF74)+Tabla3[[#This Row],[Saldo25]]</f>
        <v>3.5187625694561575E-3</v>
      </c>
      <c r="AH74" s="122">
        <f>SUM('Nov 25'!L71)</f>
        <v>386.53789134286512</v>
      </c>
      <c r="AI74" s="108">
        <f>SUM('Pago Cuota MC 2025'!P71)</f>
        <v>386</v>
      </c>
      <c r="AJ74" s="119">
        <f>SUM(-AH74,AI74)+Tabla3[[#This Row],[Saldo28]]</f>
        <v>-0.53437258029566692</v>
      </c>
      <c r="AK74" s="122">
        <f>SUM('Dic 25'!L71)</f>
        <v>372.37679483288792</v>
      </c>
      <c r="AL74" s="108">
        <f>SUM('Pago Cuota MC 2025'!Q71)</f>
        <v>0</v>
      </c>
      <c r="AM74" s="145">
        <f>SUM(-AK74,AL74)+Tabla3[[#This Row],[Saldo31]]</f>
        <v>-372.91116741318359</v>
      </c>
      <c r="AN74" s="128">
        <f t="shared" si="5"/>
        <v>-372.91116741318359</v>
      </c>
      <c r="AO74" s="29"/>
      <c r="AP74" s="106">
        <f>SUM(Tabla3[[#This Row],[Saldo Anual]])</f>
        <v>-372.91116741318359</v>
      </c>
    </row>
    <row r="75" spans="1:42" ht="16.149999999999999" thickBot="1" x14ac:dyDescent="0.5">
      <c r="A75" s="312"/>
      <c r="B75" s="16" t="s">
        <v>6</v>
      </c>
      <c r="C75" s="116">
        <v>302</v>
      </c>
      <c r="D75" s="118">
        <f>SUM('Ene 25'!L72)-('Pago Cuota MC 2024'!F72)</f>
        <v>343.895983417173</v>
      </c>
      <c r="E75" s="108">
        <f>SUM('Pago Cuota MC 2025'!F72)</f>
        <v>343.9</v>
      </c>
      <c r="F75" s="119">
        <f t="shared" si="4"/>
        <v>4.0165828269778103E-3</v>
      </c>
      <c r="G75" s="118">
        <f>SUM('Feb 25'!L72)</f>
        <v>396.31190798205643</v>
      </c>
      <c r="H75" s="108">
        <f>SUM('Pago Cuota MC 2025'!G72)</f>
        <v>396.31</v>
      </c>
      <c r="I75" s="119">
        <f>SUM(-G75,H75)+Tabla3[[#This Row],[Saldo]]</f>
        <v>2.1086007705548582E-3</v>
      </c>
      <c r="J75" s="118">
        <f>SUM('Mar 25'!L72)</f>
        <v>399.97933522900757</v>
      </c>
      <c r="K75" s="108">
        <f>SUM('Pago Cuota MC 2025'!H72)</f>
        <v>399.98</v>
      </c>
      <c r="L75" s="119">
        <f>SUM(-J75,K75)+Tabla3[[#This Row],[Saldo4]]</f>
        <v>2.7733717629985222E-3</v>
      </c>
      <c r="M75" s="122">
        <f>SUM('Abr 25'!L72)</f>
        <v>390.6420037079198</v>
      </c>
      <c r="N75" s="108">
        <f>SUM('Pago Cuota MC 2025'!I72)</f>
        <v>390.64</v>
      </c>
      <c r="O75" s="119">
        <f>SUM(-M75,N75)+Tabla3[[#This Row],[Saldo7]]</f>
        <v>7.6966384318666314E-4</v>
      </c>
      <c r="P75" s="122">
        <f>SUM('May 25'!L72)</f>
        <v>402.84459412698413</v>
      </c>
      <c r="Q75" s="108">
        <f>SUM('Pago Cuota MC 2025'!J72)</f>
        <v>402.84</v>
      </c>
      <c r="R75" s="119">
        <f>SUM(-P75,Q75)+Tabla3[[#This Row],[Saldo13]]</f>
        <v>-3.8244631409725116E-3</v>
      </c>
      <c r="S75" s="122">
        <f>SUM('Jun 25'!L72)</f>
        <v>392.26713140173928</v>
      </c>
      <c r="T75" s="108">
        <f>SUM('Pago Cuota MC 2025'!K72)</f>
        <v>392.27</v>
      </c>
      <c r="U75" s="119">
        <f>SUM(-S75,T75)+Tabla3[[#This Row],[Saldo132]]</f>
        <v>-9.5586488026810912E-4</v>
      </c>
      <c r="V75" s="122">
        <f>SUM('Jul 25'!L72)</f>
        <v>387.85008915925198</v>
      </c>
      <c r="W75" s="108">
        <f>SUM('Pago Cuota MC 2025'!L72)</f>
        <v>387.85</v>
      </c>
      <c r="X75" s="119">
        <f>SUM(-V75,W75)+Tabla3[[#This Row],[Saldo16]]</f>
        <v>-1.0450241322246256E-3</v>
      </c>
      <c r="Y75" s="122">
        <f>SUM('Ago 25'!L72)</f>
        <v>391.06316243651929</v>
      </c>
      <c r="Z75" s="108">
        <f>SUM('Pago Cuota MC 2025'!M72)</f>
        <v>391.06</v>
      </c>
      <c r="AA75" s="119">
        <f>SUM(-Y75,Z75)+Tabla3[[#This Row],[Saldo19]]</f>
        <v>-4.2074606515143387E-3</v>
      </c>
      <c r="AB75" s="122">
        <f>SUM('Sep 25'!L72)</f>
        <v>386.69422283911672</v>
      </c>
      <c r="AC75" s="108">
        <f>SUM('Pago Cuota MC 2025'!N72)</f>
        <v>386.7</v>
      </c>
      <c r="AD75" s="119">
        <f>SUM(-AB75,AC75)+Tabla3[[#This Row],[Saldo22]]</f>
        <v>1.5697002317551778E-3</v>
      </c>
      <c r="AE75" s="122">
        <f>SUM('Oct 25'!L72)</f>
        <v>382.80660221687071</v>
      </c>
      <c r="AF75" s="108">
        <f>SUM('Pago Cuota MC 2025'!O72)</f>
        <v>382.81</v>
      </c>
      <c r="AG75" s="145">
        <f>SUM(-AE75,AF75)+Tabla3[[#This Row],[Saldo25]]</f>
        <v>4.9674833610424685E-3</v>
      </c>
      <c r="AH75" s="122">
        <f>SUM('Nov 25'!L72)</f>
        <v>387.41915105691055</v>
      </c>
      <c r="AI75" s="108">
        <f>SUM('Pago Cuota MC 2025'!P72)</f>
        <v>387.41</v>
      </c>
      <c r="AJ75" s="119">
        <f>SUM(-AH75,AI75)+Tabla3[[#This Row],[Saldo28]]</f>
        <v>-4.1835735494828441E-3</v>
      </c>
      <c r="AK75" s="122">
        <f>SUM('Dic 25'!L72)</f>
        <v>398.64373785196449</v>
      </c>
      <c r="AL75" s="108">
        <f>SUM('Pago Cuota MC 2025'!Q72)</f>
        <v>398.65</v>
      </c>
      <c r="AM75" s="145">
        <f>SUM(-AK75,AL75)+Tabla3[[#This Row],[Saldo31]]</f>
        <v>2.078574486006346E-3</v>
      </c>
      <c r="AN75" s="128">
        <f t="shared" si="5"/>
        <v>2.078574486006346E-3</v>
      </c>
      <c r="AO75" s="29"/>
      <c r="AP75" s="106" t="s">
        <v>12</v>
      </c>
    </row>
    <row r="76" spans="1:42" ht="16.149999999999999" thickBot="1" x14ac:dyDescent="0.5">
      <c r="A76" s="312"/>
      <c r="B76" s="16" t="s">
        <v>6</v>
      </c>
      <c r="C76" s="116">
        <v>303</v>
      </c>
      <c r="D76" s="118">
        <f>SUM('Ene 25'!L73)-('Pago Cuota MC 2024'!F73)</f>
        <v>332.18710786420371</v>
      </c>
      <c r="E76" s="108">
        <f>SUM('Pago Cuota MC 2025'!F73)</f>
        <v>332.19</v>
      </c>
      <c r="F76" s="119">
        <f t="shared" si="4"/>
        <v>2.8921357962872207E-3</v>
      </c>
      <c r="G76" s="118">
        <f>SUM('Feb 25'!L73)</f>
        <v>359.86284233124468</v>
      </c>
      <c r="H76" s="108">
        <f>SUM('Pago Cuota MC 2025'!G73)</f>
        <v>359.86</v>
      </c>
      <c r="I76" s="119">
        <f>SUM(-G76,H76)+Tabla3[[#This Row],[Saldo]]</f>
        <v>4.980455162240105E-5</v>
      </c>
      <c r="J76" s="118">
        <f>SUM('Mar 25'!L73)</f>
        <v>367.68090387677205</v>
      </c>
      <c r="K76" s="108">
        <f>SUM('Pago Cuota MC 2025'!H73)</f>
        <v>367.68</v>
      </c>
      <c r="L76" s="119">
        <f>SUM(-J76,K76)+Tabla3[[#This Row],[Saldo4]]</f>
        <v>-8.5407222042022113E-4</v>
      </c>
      <c r="M76" s="122">
        <f>SUM('Abr 25'!L73)</f>
        <v>350.98293514399688</v>
      </c>
      <c r="N76" s="108">
        <f>SUM('Pago Cuota MC 2025'!I73)</f>
        <v>350.98</v>
      </c>
      <c r="O76" s="119">
        <f>SUM(-M76,N76)+Tabla3[[#This Row],[Saldo7]]</f>
        <v>-3.7892162172852295E-3</v>
      </c>
      <c r="P76" s="122">
        <f>SUM('May 25'!L73)</f>
        <v>366.28681912698414</v>
      </c>
      <c r="Q76" s="108">
        <f>SUM('Pago Cuota MC 2025'!J73)</f>
        <v>366.29</v>
      </c>
      <c r="R76" s="119">
        <f>SUM(-P76,Q76)+Tabla3[[#This Row],[Saldo13]]</f>
        <v>-6.0834320140656928E-4</v>
      </c>
      <c r="S76" s="122">
        <f>SUM('Jun 25'!L73)</f>
        <v>359.45833812578451</v>
      </c>
      <c r="T76" s="108">
        <f>SUM('Pago Cuota MC 2025'!K73)</f>
        <v>359.46</v>
      </c>
      <c r="U76" s="119">
        <f>SUM(-S76,T76)+Tabla3[[#This Row],[Saldo132]]</f>
        <v>1.0535310140653564E-3</v>
      </c>
      <c r="V76" s="122">
        <f>SUM('Jul 25'!L73)</f>
        <v>363.76505673441352</v>
      </c>
      <c r="W76" s="108">
        <f>SUM('Pago Cuota MC 2025'!L73)</f>
        <v>363.76</v>
      </c>
      <c r="X76" s="119">
        <f>SUM(-V76,W76)+Tabla3[[#This Row],[Saldo16]]</f>
        <v>-4.003203399463473E-3</v>
      </c>
      <c r="Y76" s="122">
        <f>SUM('Ago 25'!L73)</f>
        <v>370.34699992582028</v>
      </c>
      <c r="Z76" s="108">
        <f>SUM('Pago Cuota MC 2025'!M73)</f>
        <v>370.35</v>
      </c>
      <c r="AA76" s="119">
        <f>SUM(-Y76,Z76)+Tabla3[[#This Row],[Saldo19]]</f>
        <v>-1.0031292197254515E-3</v>
      </c>
      <c r="AB76" s="122">
        <f>SUM('Sep 25'!L73)</f>
        <v>371.47705690851734</v>
      </c>
      <c r="AC76" s="108">
        <f>SUM('Pago Cuota MC 2025'!N73)</f>
        <v>371.48</v>
      </c>
      <c r="AD76" s="119">
        <f>SUM(-AB76,AC76)+Tabla3[[#This Row],[Saldo22]]</f>
        <v>1.9399622629521218E-3</v>
      </c>
      <c r="AE76" s="122">
        <f>SUM('Oct 25'!L73)</f>
        <v>367.65755260820117</v>
      </c>
      <c r="AF76" s="108">
        <f>SUM('Pago Cuota MC 2025'!O73)</f>
        <v>367.66</v>
      </c>
      <c r="AG76" s="145">
        <f>SUM(-AE76,AF76)+Tabla3[[#This Row],[Saldo25]]</f>
        <v>4.3873540618051265E-3</v>
      </c>
      <c r="AH76" s="122">
        <f>SUM('Nov 25'!L73)</f>
        <v>352.89520631342862</v>
      </c>
      <c r="AI76" s="108">
        <f>SUM('Pago Cuota MC 2025'!P73)</f>
        <v>352.89</v>
      </c>
      <c r="AJ76" s="119">
        <f>SUM(-AH76,AI76)+Tabla3[[#This Row],[Saldo28]]</f>
        <v>-8.1895936682485626E-4</v>
      </c>
      <c r="AK76" s="122">
        <f>SUM('Dic 25'!L73)</f>
        <v>342.86726196034164</v>
      </c>
      <c r="AL76" s="108">
        <f>SUM('Pago Cuota MC 2025'!Q73)</f>
        <v>342.87</v>
      </c>
      <c r="AM76" s="145">
        <f>SUM(-AK76,AL76)+Tabla3[[#This Row],[Saldo31]]</f>
        <v>1.9190802915431959E-3</v>
      </c>
      <c r="AN76" s="128">
        <f t="shared" si="5"/>
        <v>1.9190802915431959E-3</v>
      </c>
      <c r="AO76" s="29"/>
      <c r="AP76" s="106" t="s">
        <v>12</v>
      </c>
    </row>
    <row r="77" spans="1:42" ht="16.149999999999999" thickBot="1" x14ac:dyDescent="0.5">
      <c r="A77" s="312"/>
      <c r="B77" s="16" t="s">
        <v>6</v>
      </c>
      <c r="C77" s="116">
        <v>304</v>
      </c>
      <c r="D77" s="118">
        <f>SUM('Ene 25'!L74)-('Pago Cuota MC 2024'!F74)</f>
        <v>4.1684494112246284E-3</v>
      </c>
      <c r="E77" s="108">
        <f>SUM('Pago Cuota MC 2025'!F74)</f>
        <v>0</v>
      </c>
      <c r="F77" s="119">
        <f t="shared" si="4"/>
        <v>-4.1684494112246284E-3</v>
      </c>
      <c r="G77" s="118">
        <f>SUM('Feb 25'!L74)</f>
        <v>351.47498203503278</v>
      </c>
      <c r="H77" s="108">
        <f>SUM('Pago Cuota MC 2025'!G74)</f>
        <v>0</v>
      </c>
      <c r="I77" s="119">
        <f>SUM(-G77,H77)+Tabla3[[#This Row],[Saldo]]</f>
        <v>-351.47915048444401</v>
      </c>
      <c r="J77" s="118">
        <f>SUM('Mar 25'!L74)</f>
        <v>357.76199226281346</v>
      </c>
      <c r="K77" s="108">
        <f>SUM('Pago Cuota MC 2025'!H74)</f>
        <v>709.24</v>
      </c>
      <c r="L77" s="119">
        <f>SUM(-J77,K77)+Tabla3[[#This Row],[Saldo4]]</f>
        <v>-1.1427472574609965E-3</v>
      </c>
      <c r="M77" s="122">
        <f>SUM('Abr 25'!L74)</f>
        <v>352.5566108883051</v>
      </c>
      <c r="N77" s="108">
        <f>SUM('Pago Cuota MC 2025'!I74)</f>
        <v>0</v>
      </c>
      <c r="O77" s="119">
        <f>SUM(-M77,N77)+Tabla3[[#This Row],[Saldo7]]</f>
        <v>-352.55775363556256</v>
      </c>
      <c r="P77" s="122">
        <f>SUM('May 25'!L74)</f>
        <v>370.93319174603175</v>
      </c>
      <c r="Q77" s="108">
        <f>SUM('Pago Cuota MC 2025'!J74)</f>
        <v>723.49</v>
      </c>
      <c r="R77" s="119">
        <f>SUM(-P77,Q77)+Tabla3[[#This Row],[Saldo13]]</f>
        <v>-9.4538159430612723E-4</v>
      </c>
      <c r="S77" s="122">
        <f>SUM('Jun 25'!L74)</f>
        <v>353.59141916397704</v>
      </c>
      <c r="T77" s="108">
        <f>SUM('Pago Cuota MC 2025'!K74)</f>
        <v>0</v>
      </c>
      <c r="U77" s="119">
        <f>SUM(-S77,T77)+Tabla3[[#This Row],[Saldo132]]</f>
        <v>-353.59236454557134</v>
      </c>
      <c r="V77" s="122">
        <f>SUM('Jul 25'!L74)</f>
        <v>375.83109348631012</v>
      </c>
      <c r="W77" s="108">
        <f>SUM('Pago Cuota MC 2025'!L74)</f>
        <v>0</v>
      </c>
      <c r="X77" s="119">
        <f>SUM(-V77,W77)+Tabla3[[#This Row],[Saldo16]]</f>
        <v>-729.42345803188141</v>
      </c>
      <c r="Y77" s="122">
        <f>SUM('Ago 25'!L74)</f>
        <v>361.68759496148357</v>
      </c>
      <c r="Z77" s="108">
        <f>SUM('Pago Cuota MC 2025'!M74)</f>
        <v>1091.1099999999999</v>
      </c>
      <c r="AA77" s="119">
        <f>SUM(-Y77,Z77)+Tabla3[[#This Row],[Saldo19]]</f>
        <v>-1.0529933650786916E-3</v>
      </c>
      <c r="AB77" s="122">
        <f>SUM('Sep 25'!L74)</f>
        <v>371.83437678233435</v>
      </c>
      <c r="AC77" s="108">
        <f>SUM('Pago Cuota MC 2025'!N74)</f>
        <v>0</v>
      </c>
      <c r="AD77" s="119">
        <f>SUM(-AB77,AC77)+Tabla3[[#This Row],[Saldo22]]</f>
        <v>-371.83542977569942</v>
      </c>
      <c r="AE77" s="122">
        <f>SUM('Oct 25'!L74)</f>
        <v>368.01327301759312</v>
      </c>
      <c r="AF77" s="108">
        <f>SUM('Pago Cuota MC 2025'!O74)</f>
        <v>739.85</v>
      </c>
      <c r="AG77" s="145">
        <f>SUM(-AE77,AF77)+Tabla3[[#This Row],[Saldo25]]</f>
        <v>1.2972067074770166E-3</v>
      </c>
      <c r="AH77" s="122">
        <f>SUM('Nov 25'!L74)</f>
        <v>365.46308133445473</v>
      </c>
      <c r="AI77" s="108">
        <f>SUM('Pago Cuota MC 2025'!P74)</f>
        <v>0</v>
      </c>
      <c r="AJ77" s="119">
        <f>SUM(-AH77,AI77)+Tabla3[[#This Row],[Saldo28]]</f>
        <v>-365.46178412774725</v>
      </c>
      <c r="AK77" s="122">
        <f>SUM('Dic 25'!L74)</f>
        <v>355.68433530842015</v>
      </c>
      <c r="AL77" s="108">
        <f>SUM('Pago Cuota MC 2025'!Q74)</f>
        <v>0</v>
      </c>
      <c r="AM77" s="145">
        <f>SUM(-AK77,AL77)+Tabla3[[#This Row],[Saldo31]]</f>
        <v>-721.1461194361674</v>
      </c>
      <c r="AN77" s="128">
        <f t="shared" si="5"/>
        <v>-721.1461194361674</v>
      </c>
      <c r="AO77" s="29"/>
      <c r="AP77" s="106">
        <f>SUM(Tabla3[[#This Row],[Saldo Anual]])</f>
        <v>-721.1461194361674</v>
      </c>
    </row>
    <row r="78" spans="1:42" ht="16.149999999999999" thickBot="1" x14ac:dyDescent="0.5">
      <c r="A78" s="312"/>
      <c r="B78" s="16" t="s">
        <v>6</v>
      </c>
      <c r="C78" s="116">
        <v>401</v>
      </c>
      <c r="D78" s="118">
        <f>SUM('Ene 25'!L75)-('Pago Cuota MC 2024'!F75)</f>
        <v>344.62339220995955</v>
      </c>
      <c r="E78" s="108">
        <f>SUM('Pago Cuota MC 2025'!F75)</f>
        <v>344.62</v>
      </c>
      <c r="F78" s="119">
        <f t="shared" si="4"/>
        <v>-3.3922099595429245E-3</v>
      </c>
      <c r="G78" s="118">
        <f>SUM('Feb 25'!L75)</f>
        <v>412.71222783395046</v>
      </c>
      <c r="H78" s="108">
        <f>SUM('Pago Cuota MC 2025'!G75)</f>
        <v>412.72</v>
      </c>
      <c r="I78" s="119">
        <f>SUM(-G78,H78)+Tabla3[[#This Row],[Saldo]]</f>
        <v>4.3799560900197321E-3</v>
      </c>
      <c r="J78" s="118">
        <f>SUM('Mar 25'!L75)</f>
        <v>410.3979302126499</v>
      </c>
      <c r="K78" s="108">
        <f>SUM('Pago Cuota MC 2025'!H75)</f>
        <v>410.39</v>
      </c>
      <c r="L78" s="119">
        <f>SUM(-J78,K78)+Tabla3[[#This Row],[Saldo4]]</f>
        <v>-3.5502565598903857E-3</v>
      </c>
      <c r="M78" s="122">
        <f>SUM('Abr 25'!L75)</f>
        <v>403.91048937633781</v>
      </c>
      <c r="N78" s="108">
        <f>SUM('Pago Cuota MC 2025'!I75)</f>
        <v>403.91</v>
      </c>
      <c r="O78" s="119">
        <f>SUM(-M78,N78)+Tabla3[[#This Row],[Saldo7]]</f>
        <v>-4.0396328976726181E-3</v>
      </c>
      <c r="P78" s="122">
        <f>SUM('May 25'!L75)</f>
        <v>412.462461984127</v>
      </c>
      <c r="Q78" s="108">
        <f>SUM('Pago Cuota MC 2025'!J75)</f>
        <v>412.47</v>
      </c>
      <c r="R78" s="119">
        <f>SUM(-P78,Q78)+Tabla3[[#This Row],[Saldo13]]</f>
        <v>3.4983829753514328E-3</v>
      </c>
      <c r="S78" s="122">
        <f>SUM('Jun 25'!L75)</f>
        <v>386.89935611932941</v>
      </c>
      <c r="T78" s="108">
        <f>SUM('Pago Cuota MC 2025'!K75)</f>
        <v>386.9</v>
      </c>
      <c r="U78" s="119">
        <f>SUM(-S78,T78)+Tabla3[[#This Row],[Saldo132]]</f>
        <v>4.14226364591741E-3</v>
      </c>
      <c r="V78" s="122">
        <f>SUM('Jul 25'!L75)</f>
        <v>392.55419705472826</v>
      </c>
      <c r="W78" s="108">
        <f>SUM('Pago Cuota MC 2025'!L75)</f>
        <v>386.9</v>
      </c>
      <c r="X78" s="119">
        <f>SUM(-V78,W78)+Tabla3[[#This Row],[Saldo16]]</f>
        <v>-5.6500547910823684</v>
      </c>
      <c r="Y78" s="122">
        <f>SUM('Ago 25'!L75)</f>
        <v>375.53581601711841</v>
      </c>
      <c r="Z78" s="108">
        <f>SUM('Pago Cuota MC 2025'!M75)</f>
        <v>381.19</v>
      </c>
      <c r="AA78" s="119">
        <f>SUM(-Y78,Z78)+Tabla3[[#This Row],[Saldo19]]</f>
        <v>4.1291917992225535E-3</v>
      </c>
      <c r="AB78" s="122">
        <f>SUM('Sep 25'!L75)</f>
        <v>387.78171810725553</v>
      </c>
      <c r="AC78" s="108">
        <f>SUM('Pago Cuota MC 2025'!N75)</f>
        <v>387.78</v>
      </c>
      <c r="AD78" s="119">
        <f>SUM(-AB78,AC78)+Tabla3[[#This Row],[Saldo22]]</f>
        <v>2.411084543666675E-3</v>
      </c>
      <c r="AE78" s="122">
        <f>SUM('Oct 25'!L75)</f>
        <v>383.88922954980262</v>
      </c>
      <c r="AF78" s="108">
        <f>SUM('Pago Cuota MC 2025'!O75)</f>
        <v>383.89</v>
      </c>
      <c r="AG78" s="145">
        <f>SUM(-AE78,AF78)+Tabla3[[#This Row],[Saldo25]]</f>
        <v>3.1815347410315553E-3</v>
      </c>
      <c r="AH78" s="122">
        <f>SUM('Nov 25'!L75)</f>
        <v>402.69034979534621</v>
      </c>
      <c r="AI78" s="108">
        <f>SUM('Pago Cuota MC 2025'!P75)</f>
        <v>402.69</v>
      </c>
      <c r="AJ78" s="119">
        <f>SUM(-AH78,AI78)+Tabla3[[#This Row],[Saldo28]]</f>
        <v>2.8317393948213976E-3</v>
      </c>
      <c r="AK78" s="122">
        <f>SUM('Dic 25'!L75)</f>
        <v>397.28774573142266</v>
      </c>
      <c r="AL78" s="108">
        <f>SUM('Pago Cuota MC 2025'!Q75)</f>
        <v>397.28</v>
      </c>
      <c r="AM78" s="145">
        <f>SUM(-AK78,AL78)+Tabla3[[#This Row],[Saldo31]]</f>
        <v>-4.913992027866243E-3</v>
      </c>
      <c r="AN78" s="128">
        <f t="shared" si="5"/>
        <v>-4.913992027866243E-3</v>
      </c>
      <c r="AO78" s="29"/>
      <c r="AP78" s="106" t="s">
        <v>12</v>
      </c>
    </row>
    <row r="79" spans="1:42" ht="16.149999999999999" thickBot="1" x14ac:dyDescent="0.5">
      <c r="A79" s="312"/>
      <c r="B79" s="16" t="s">
        <v>6</v>
      </c>
      <c r="C79" s="116">
        <v>402</v>
      </c>
      <c r="D79" s="118">
        <f>SUM('Ene 25'!L76)-('Pago Cuota MC 2024'!F76)</f>
        <v>298.79090365912361</v>
      </c>
      <c r="E79" s="108">
        <f>SUM('Pago Cuota MC 2025'!F76)</f>
        <v>461.21</v>
      </c>
      <c r="F79" s="119">
        <f t="shared" si="4"/>
        <v>162.41909634087637</v>
      </c>
      <c r="G79" s="118">
        <f>SUM('Feb 25'!L76)</f>
        <v>398.37270163058963</v>
      </c>
      <c r="H79" s="108">
        <f>SUM('Pago Cuota MC 2025'!G76)</f>
        <v>200</v>
      </c>
      <c r="I79" s="119">
        <f>SUM(-G79,H79)+Tabla3[[#This Row],[Saldo]]</f>
        <v>-35.953605289713266</v>
      </c>
      <c r="J79" s="118">
        <f>SUM('Mar 25'!L76)</f>
        <v>476.69450327699013</v>
      </c>
      <c r="K79" s="108">
        <f>SUM('Pago Cuota MC 2025'!H76)</f>
        <v>500</v>
      </c>
      <c r="L79" s="119">
        <f>SUM(-J79,K79)+Tabla3[[#This Row],[Saldo4]]</f>
        <v>-12.648108566703399</v>
      </c>
      <c r="M79" s="122">
        <f>SUM('Abr 25'!L76)</f>
        <v>433.64360834890056</v>
      </c>
      <c r="N79" s="108">
        <f>SUM('Pago Cuota MC 2025'!I76)</f>
        <v>500</v>
      </c>
      <c r="O79" s="119">
        <f>SUM(-M79,N79)+Tabla3[[#This Row],[Saldo7]]</f>
        <v>53.708283084396044</v>
      </c>
      <c r="P79" s="122">
        <f>SUM('May 25'!L76)</f>
        <v>433.0645357936508</v>
      </c>
      <c r="Q79" s="108">
        <f>SUM('Pago Cuota MC 2025'!J76)</f>
        <v>0</v>
      </c>
      <c r="R79" s="119">
        <f>SUM(-P79,Q79)+Tabla3[[#This Row],[Saldo13]]</f>
        <v>-379.35625270925476</v>
      </c>
      <c r="S79" s="122">
        <f>SUM('Jun 25'!L76)</f>
        <v>425.24358648511748</v>
      </c>
      <c r="T79" s="108">
        <f>SUM('Pago Cuota MC 2025'!K76)</f>
        <v>600</v>
      </c>
      <c r="U79" s="119">
        <f>SUM(-S79,T79)+Tabla3[[#This Row],[Saldo132]]</f>
        <v>-204.59983919437224</v>
      </c>
      <c r="V79" s="122">
        <f>SUM('Jul 25'!L76)</f>
        <v>416.52162678217979</v>
      </c>
      <c r="W79" s="108">
        <f>SUM('Pago Cuota MC 2025'!L76)</f>
        <v>0</v>
      </c>
      <c r="X79" s="119">
        <f>SUM(-V79,W79)+Tabla3[[#This Row],[Saldo16]]</f>
        <v>-621.12146597655203</v>
      </c>
      <c r="Y79" s="122">
        <f>SUM('Ago 25'!L76)</f>
        <v>410.62747604564908</v>
      </c>
      <c r="Z79" s="108">
        <f>SUM('Pago Cuota MC 2025'!M76)</f>
        <v>1000</v>
      </c>
      <c r="AA79" s="119">
        <f>SUM(-Y79,Z79)+Tabla3[[#This Row],[Saldo19]]</f>
        <v>-31.748942022201049</v>
      </c>
      <c r="AB79" s="122">
        <f>SUM('Sep 25'!L76)</f>
        <v>418.13837173501577</v>
      </c>
      <c r="AC79" s="108">
        <f>SUM('Pago Cuota MC 2025'!N76)</f>
        <v>0</v>
      </c>
      <c r="AD79" s="119">
        <f>SUM(-AB79,AC79)+Tabla3[[#This Row],[Saldo22]]</f>
        <v>-449.88731375721682</v>
      </c>
      <c r="AE79" s="122">
        <f>SUM('Oct 25'!L76)</f>
        <v>414.10999824336074</v>
      </c>
      <c r="AF79" s="108">
        <f>SUM('Pago Cuota MC 2025'!O76)</f>
        <v>0</v>
      </c>
      <c r="AG79" s="145">
        <f>SUM(-AE79,AF79)+Tabla3[[#This Row],[Saldo25]]</f>
        <v>-863.99731200057749</v>
      </c>
      <c r="AH79" s="122">
        <f>SUM('Nov 25'!L76)</f>
        <v>429.3151952116624</v>
      </c>
      <c r="AI79" s="108">
        <f>SUM('Pago Cuota MC 2025'!P76)</f>
        <v>0</v>
      </c>
      <c r="AJ79" s="119">
        <f>SUM(-AH79,AI79)+Tabla3[[#This Row],[Saldo28]]</f>
        <v>-1293.3125072122398</v>
      </c>
      <c r="AK79" s="122">
        <f>SUM('Dic 25'!L76)</f>
        <v>426.7354240283538</v>
      </c>
      <c r="AL79" s="108">
        <f>SUM('Pago Cuota MC 2025'!Q76)</f>
        <v>0</v>
      </c>
      <c r="AM79" s="145">
        <f>SUM(-AK79,AL79)+Tabla3[[#This Row],[Saldo31]]</f>
        <v>-1720.0479312405937</v>
      </c>
      <c r="AN79" s="128">
        <f t="shared" si="5"/>
        <v>-1720.0479312405937</v>
      </c>
      <c r="AO79" s="29"/>
      <c r="AP79" s="106">
        <f>SUM(Tabla3[[#This Row],[Saldo Anual]])</f>
        <v>-1720.0479312405937</v>
      </c>
    </row>
    <row r="80" spans="1:42" ht="16.149999999999999" thickBot="1" x14ac:dyDescent="0.5">
      <c r="A80" s="312"/>
      <c r="B80" s="16" t="s">
        <v>6</v>
      </c>
      <c r="C80" s="116">
        <v>403</v>
      </c>
      <c r="D80" s="118">
        <f>SUM('Ene 25'!L77)-('Pago Cuota MC 2024'!F77)</f>
        <v>352.57643906864411</v>
      </c>
      <c r="E80" s="108">
        <f>SUM('Pago Cuota MC 2025'!F77)</f>
        <v>352.58</v>
      </c>
      <c r="F80" s="119">
        <f t="shared" si="4"/>
        <v>3.5609313558779832E-3</v>
      </c>
      <c r="G80" s="118">
        <f>SUM('Feb 25'!L77)</f>
        <v>411.93014295784678</v>
      </c>
      <c r="H80" s="108">
        <f>SUM('Pago Cuota MC 2025'!G77)</f>
        <v>411.93</v>
      </c>
      <c r="I80" s="119">
        <f>SUM(-G80,H80)+Tabla3[[#This Row],[Saldo]]</f>
        <v>3.4179735091015573E-3</v>
      </c>
      <c r="J80" s="118">
        <f>SUM('Mar 25'!L77)</f>
        <v>434.18600622137399</v>
      </c>
      <c r="K80" s="108">
        <f>SUM('Pago Cuota MC 2025'!H77)</f>
        <v>434.18</v>
      </c>
      <c r="L80" s="119">
        <f>SUM(-J80,K80)+Tabla3[[#This Row],[Saldo4]]</f>
        <v>-2.5882478648782126E-3</v>
      </c>
      <c r="M80" s="122">
        <f>SUM('Abr 25'!L77)</f>
        <v>452.10888368456898</v>
      </c>
      <c r="N80" s="108">
        <f>SUM('Pago Cuota MC 2025'!I77)</f>
        <v>452.11</v>
      </c>
      <c r="O80" s="119">
        <f>SUM(-M80,N80)+Tabla3[[#This Row],[Saldo7]]</f>
        <v>-1.4719324338443585E-3</v>
      </c>
      <c r="P80" s="122">
        <f>SUM('May 25'!L77)</f>
        <v>422.0062512698413</v>
      </c>
      <c r="Q80" s="108">
        <f>SUM('Pago Cuota MC 2025'!J77)</f>
        <v>422.01</v>
      </c>
      <c r="R80" s="119">
        <f>SUM(-P80,Q80)+Tabla3[[#This Row],[Saldo13]]</f>
        <v>2.2767977248463467E-3</v>
      </c>
      <c r="S80" s="122">
        <f>SUM('Jun 25'!L77)</f>
        <v>414.60183032589208</v>
      </c>
      <c r="T80" s="108">
        <f>SUM('Pago Cuota MC 2025'!K77)</f>
        <v>414.6</v>
      </c>
      <c r="U80" s="119">
        <f>SUM(-S80,T80)+Tabla3[[#This Row],[Saldo132]]</f>
        <v>4.4647183278812008E-4</v>
      </c>
      <c r="V80" s="122">
        <f>SUM('Jul 25'!L77)</f>
        <v>411.53527241297496</v>
      </c>
      <c r="W80" s="108">
        <f>SUM('Pago Cuota MC 2025'!L77)</f>
        <v>411.53</v>
      </c>
      <c r="X80" s="119">
        <f>SUM(-V80,W80)+Tabla3[[#This Row],[Saldo16]]</f>
        <v>-4.825941142200918E-3</v>
      </c>
      <c r="Y80" s="122">
        <f>SUM('Ago 25'!L77)</f>
        <v>420.99954223680459</v>
      </c>
      <c r="Z80" s="108">
        <f>SUM('Pago Cuota MC 2025'!M77)</f>
        <v>421</v>
      </c>
      <c r="AA80" s="119">
        <f>SUM(-Y80,Z80)+Tabla3[[#This Row],[Saldo19]]</f>
        <v>-4.3681779467874549E-3</v>
      </c>
      <c r="AB80" s="122">
        <f>SUM('Sep 25'!L77)</f>
        <v>414.57682473186117</v>
      </c>
      <c r="AC80" s="108">
        <f>SUM('Pago Cuota MC 2025'!N77)</f>
        <v>414.58</v>
      </c>
      <c r="AD80" s="119">
        <f>SUM(-AB80,AC80)+Tabla3[[#This Row],[Saldo22]]</f>
        <v>-1.1929098079690448E-3</v>
      </c>
      <c r="AE80" s="122">
        <f>SUM('Oct 25'!L77)</f>
        <v>410.56439372800855</v>
      </c>
      <c r="AF80" s="108">
        <f>SUM('Pago Cuota MC 2025'!O77)</f>
        <v>360</v>
      </c>
      <c r="AG80" s="145">
        <f>SUM(-AE80,AF80)+Tabla3[[#This Row],[Saldo25]]</f>
        <v>-50.565586637816523</v>
      </c>
      <c r="AH80" s="122">
        <f>SUM('Nov 25'!L77)</f>
        <v>429.71961733109055</v>
      </c>
      <c r="AI80" s="108">
        <f>SUM('Pago Cuota MC 2025'!P77)</f>
        <v>350</v>
      </c>
      <c r="AJ80" s="119">
        <f>SUM(-AH80,AI80)+Tabla3[[#This Row],[Saldo28]]</f>
        <v>-130.28520396890707</v>
      </c>
      <c r="AK80" s="122">
        <f>SUM('Dic 25'!L77)</f>
        <v>407.02337611571897</v>
      </c>
      <c r="AL80" s="108">
        <f>SUM('Pago Cuota MC 2025'!Q77)</f>
        <v>500</v>
      </c>
      <c r="AM80" s="145">
        <f>SUM(-AK80,AL80)+Tabla3[[#This Row],[Saldo31]]</f>
        <v>-37.308580084626044</v>
      </c>
      <c r="AN80" s="128">
        <f t="shared" si="5"/>
        <v>-37.308580084626044</v>
      </c>
      <c r="AO80" s="29"/>
      <c r="AP80" s="106">
        <f>SUM(Tabla3[[#This Row],[Saldo Anual]])</f>
        <v>-37.308580084626044</v>
      </c>
    </row>
    <row r="81" spans="1:43" ht="16.149999999999999" thickBot="1" x14ac:dyDescent="0.5">
      <c r="A81" s="312"/>
      <c r="B81" s="16" t="s">
        <v>6</v>
      </c>
      <c r="C81" s="116">
        <v>404</v>
      </c>
      <c r="D81" s="118">
        <f>SUM('Ene 25'!L78)-('Pago Cuota MC 2024'!F78)</f>
        <v>328.49947390181723</v>
      </c>
      <c r="E81" s="108">
        <f>SUM('Pago Cuota MC 2025'!F78)</f>
        <v>346.96</v>
      </c>
      <c r="F81" s="119">
        <f t="shared" si="4"/>
        <v>18.460526098182754</v>
      </c>
      <c r="G81" s="118">
        <f>SUM('Feb 25'!L78)</f>
        <v>350.15716901879807</v>
      </c>
      <c r="H81" s="108">
        <f>SUM('Pago Cuota MC 2025'!G78)</f>
        <v>350</v>
      </c>
      <c r="I81" s="119">
        <f>SUM(-G81,H81)+Tabla3[[#This Row],[Saldo]]</f>
        <v>18.303357079384682</v>
      </c>
      <c r="J81" s="118">
        <f>SUM('Mar 25'!L78)</f>
        <v>356.74295294983636</v>
      </c>
      <c r="K81" s="108">
        <f>SUM('Pago Cuota MC 2025'!H78)</f>
        <v>340</v>
      </c>
      <c r="L81" s="119">
        <f>SUM(-J81,K81)+Tabla3[[#This Row],[Saldo4]]</f>
        <v>1.5604041295483171</v>
      </c>
      <c r="M81" s="122">
        <f>SUM('Abr 25'!L78)</f>
        <v>367.81353955146915</v>
      </c>
      <c r="N81" s="108">
        <f>SUM('Pago Cuota MC 2025'!I78)</f>
        <v>370</v>
      </c>
      <c r="O81" s="119">
        <f>SUM(-M81,N81)+Tabla3[[#This Row],[Saldo7]]</f>
        <v>3.746864578079169</v>
      </c>
      <c r="P81" s="122">
        <f>SUM('May 25'!L78)</f>
        <v>381.62519888888892</v>
      </c>
      <c r="Q81" s="108">
        <f>SUM('Pago Cuota MC 2025'!J78)</f>
        <v>377</v>
      </c>
      <c r="R81" s="119">
        <f>SUM(-P81,Q81)+Tabla3[[#This Row],[Saldo13]]</f>
        <v>-0.87833431080974833</v>
      </c>
      <c r="S81" s="122">
        <f>SUM('Jun 25'!L78)</f>
        <v>383.14389415052898</v>
      </c>
      <c r="T81" s="108">
        <f>SUM('Pago Cuota MC 2025'!K78)</f>
        <v>390</v>
      </c>
      <c r="U81" s="119">
        <f>SUM(-S81,T81)+Tabla3[[#This Row],[Saldo132]]</f>
        <v>5.9777715386612726</v>
      </c>
      <c r="V81" s="122">
        <f>SUM('Jul 25'!L78)</f>
        <v>388.76347010895699</v>
      </c>
      <c r="W81" s="108">
        <f>SUM('Pago Cuota MC 2025'!L78)</f>
        <v>385</v>
      </c>
      <c r="X81" s="119">
        <f>SUM(-V81,W81)+Tabla3[[#This Row],[Saldo16]]</f>
        <v>2.2143014297042782</v>
      </c>
      <c r="Y81" s="122">
        <f>SUM('Ago 25'!L78)</f>
        <v>364.9939560456491</v>
      </c>
      <c r="Z81" s="108">
        <f>SUM('Pago Cuota MC 2025'!M78)</f>
        <v>363</v>
      </c>
      <c r="AA81" s="119">
        <f>SUM(-Y81,Z81)+Tabla3[[#This Row],[Saldo19]]</f>
        <v>0.22034538405517878</v>
      </c>
      <c r="AB81" s="122">
        <f>SUM('Sep 25'!L78)</f>
        <v>383.53271873817033</v>
      </c>
      <c r="AC81" s="108">
        <f>SUM('Pago Cuota MC 2025'!N78)</f>
        <v>390</v>
      </c>
      <c r="AD81" s="119">
        <f>SUM(-AB81,AC81)+Tabla3[[#This Row],[Saldo22]]</f>
        <v>6.6876266458848477</v>
      </c>
      <c r="AE81" s="122">
        <f>SUM('Oct 25'!L78)</f>
        <v>379.65924989898986</v>
      </c>
      <c r="AF81" s="108">
        <f>SUM('Pago Cuota MC 2025'!O78)</f>
        <v>380</v>
      </c>
      <c r="AG81" s="145">
        <f>SUM(-AE81,AF81)+Tabla3[[#This Row],[Saldo25]]</f>
        <v>7.0283767468949918</v>
      </c>
      <c r="AH81" s="122">
        <f>SUM('Nov 25'!L78)</f>
        <v>397.08919008130079</v>
      </c>
      <c r="AI81" s="108">
        <f>SUM('Pago Cuota MC 2025'!P78)</f>
        <v>390</v>
      </c>
      <c r="AJ81" s="119">
        <f>SUM(-AH81,AI81)+Tabla3[[#This Row],[Saldo28]]</f>
        <v>-6.0813334405793285E-2</v>
      </c>
      <c r="AK81" s="122">
        <f>SUM('Dic 25'!L78)</f>
        <v>375.07305742619729</v>
      </c>
      <c r="AL81" s="108">
        <f>SUM('Pago Cuota MC 2025'!Q78)</f>
        <v>375</v>
      </c>
      <c r="AM81" s="145">
        <f>SUM(-AK81,AL81)+Tabla3[[#This Row],[Saldo31]]</f>
        <v>-0.133870760603088</v>
      </c>
      <c r="AN81" s="128">
        <f t="shared" si="5"/>
        <v>-0.133870760603088</v>
      </c>
      <c r="AO81" s="29"/>
      <c r="AP81" s="106">
        <f>SUM(Tabla3[[#This Row],[Saldo Anual]])</f>
        <v>-0.133870760603088</v>
      </c>
    </row>
    <row r="82" spans="1:43" ht="16.149999999999999" thickBot="1" x14ac:dyDescent="0.5">
      <c r="A82" s="312"/>
      <c r="B82" s="16" t="s">
        <v>6</v>
      </c>
      <c r="C82" s="116">
        <v>501</v>
      </c>
      <c r="D82" s="118">
        <f>SUM('Ene 25'!L79)-('Pago Cuota MC 2024'!F79)</f>
        <v>340.79518879976797</v>
      </c>
      <c r="E82" s="108">
        <f>SUM('Pago Cuota MC 2025'!F79)</f>
        <v>381</v>
      </c>
      <c r="F82" s="119">
        <f t="shared" si="4"/>
        <v>40.204811200232029</v>
      </c>
      <c r="G82" s="118">
        <f>SUM('Feb 25'!L79)</f>
        <v>498.98010009256626</v>
      </c>
      <c r="H82" s="108">
        <f>SUM('Pago Cuota MC 2025'!G79)</f>
        <v>459</v>
      </c>
      <c r="I82" s="119">
        <f>SUM(-G82,H82)+Tabla3[[#This Row],[Saldo]]</f>
        <v>0.22471110766576885</v>
      </c>
      <c r="J82" s="118">
        <f>SUM('Mar 25'!L79)</f>
        <v>450.58899809705554</v>
      </c>
      <c r="K82" s="108">
        <f>SUM('Pago Cuota MC 2025'!H79)</f>
        <v>451</v>
      </c>
      <c r="L82" s="119">
        <f>SUM(-J82,K82)+Tabla3[[#This Row],[Saldo4]]</f>
        <v>0.63571301061023178</v>
      </c>
      <c r="M82" s="122">
        <f>SUM('Abr 25'!L79)</f>
        <v>432.46436812706753</v>
      </c>
      <c r="N82" s="108">
        <f>SUM('Pago Cuota MC 2025'!I79)</f>
        <v>432</v>
      </c>
      <c r="O82" s="119">
        <f>SUM(-M82,N82)+Tabla3[[#This Row],[Saldo7]]</f>
        <v>0.17134488354270161</v>
      </c>
      <c r="P82" s="122">
        <f>SUM('May 25'!L79)</f>
        <v>477.33882865079363</v>
      </c>
      <c r="Q82" s="108">
        <f>SUM('Pago Cuota MC 2025'!J79)</f>
        <v>477.2</v>
      </c>
      <c r="R82" s="119">
        <f>SUM(-P82,Q82)+Tabla3[[#This Row],[Saldo13]]</f>
        <v>3.2516232749060237E-2</v>
      </c>
      <c r="S82" s="122">
        <f>SUM('Jun 25'!L79)</f>
        <v>452.89328115967368</v>
      </c>
      <c r="T82" s="108">
        <f>SUM('Pago Cuota MC 2025'!K79)</f>
        <v>453</v>
      </c>
      <c r="U82" s="119">
        <f>SUM(-S82,T82)+Tabla3[[#This Row],[Saldo132]]</f>
        <v>0.1392350730753833</v>
      </c>
      <c r="V82" s="122">
        <f>SUM('Jul 25'!L79)</f>
        <v>450.51664650682153</v>
      </c>
      <c r="W82" s="108">
        <f>SUM('Pago Cuota MC 2025'!L79)</f>
        <v>450.4</v>
      </c>
      <c r="X82" s="119">
        <f>SUM(-V82,W82)+Tabla3[[#This Row],[Saldo16]]</f>
        <v>2.2588566253830322E-2</v>
      </c>
      <c r="Y82" s="122">
        <f>SUM('Ago 25'!L79)</f>
        <v>430.11809470470757</v>
      </c>
      <c r="Z82" s="108">
        <f>SUM('Pago Cuota MC 2025'!M79)</f>
        <v>430.1</v>
      </c>
      <c r="AA82" s="119">
        <f>SUM(-Y82,Z82)+Tabla3[[#This Row],[Saldo19]]</f>
        <v>4.4938615462797316E-3</v>
      </c>
      <c r="AB82" s="122">
        <f>SUM('Sep 25'!L79)</f>
        <v>473.95018246056782</v>
      </c>
      <c r="AC82" s="108">
        <f>SUM('Pago Cuota MC 2025'!N79)</f>
        <v>438</v>
      </c>
      <c r="AD82" s="119">
        <f>SUM(-AB82,AC82)+Tabla3[[#This Row],[Saldo22]]</f>
        <v>-35.945688599021537</v>
      </c>
      <c r="AE82" s="122">
        <f>SUM('Oct 25'!L79)</f>
        <v>469.67197957990504</v>
      </c>
      <c r="AF82" s="108">
        <f>SUM('Pago Cuota MC 2025'!O79)</f>
        <v>506</v>
      </c>
      <c r="AG82" s="145">
        <f>SUM(-AE82,AF82)+Tabla3[[#This Row],[Saldo25]]</f>
        <v>0.38233182107342145</v>
      </c>
      <c r="AH82" s="122">
        <f>SUM('Nov 25'!L79)</f>
        <v>460.00795795346227</v>
      </c>
      <c r="AI82" s="108">
        <f>SUM('Pago Cuota MC 2025'!P79)</f>
        <v>460</v>
      </c>
      <c r="AJ82" s="119">
        <f>SUM(-AH82,AI82)+Tabla3[[#This Row],[Saldo28]]</f>
        <v>0.37437386761115476</v>
      </c>
      <c r="AK82" s="122">
        <f>SUM('Dic 25'!L79)</f>
        <v>488.33573840490897</v>
      </c>
      <c r="AL82" s="108">
        <f>SUM('Pago Cuota MC 2025'!Q79)</f>
        <v>489</v>
      </c>
      <c r="AM82" s="145">
        <f>SUM(-AK82,AL82)+Tabla3[[#This Row],[Saldo31]]</f>
        <v>1.0386354627021888</v>
      </c>
      <c r="AN82" s="128">
        <f t="shared" si="5"/>
        <v>1.0386354627021888</v>
      </c>
      <c r="AO82" s="29"/>
      <c r="AP82" s="106" t="s">
        <v>12</v>
      </c>
    </row>
    <row r="83" spans="1:43" ht="16.149999999999999" thickBot="1" x14ac:dyDescent="0.5">
      <c r="A83" s="312"/>
      <c r="B83" s="16" t="s">
        <v>6</v>
      </c>
      <c r="C83" s="116">
        <v>502</v>
      </c>
      <c r="D83" s="118">
        <f>SUM('Ene 25'!L80)-('Pago Cuota MC 2024'!F80)</f>
        <v>338.17770628270381</v>
      </c>
      <c r="E83" s="108">
        <f>SUM('Pago Cuota MC 2025'!F80)</f>
        <v>339</v>
      </c>
      <c r="F83" s="119">
        <f t="shared" si="4"/>
        <v>0.82229371729619061</v>
      </c>
      <c r="G83" s="118">
        <f>SUM('Feb 25'!L80)</f>
        <v>374.0420411350043</v>
      </c>
      <c r="H83" s="108">
        <f>SUM('Pago Cuota MC 2025'!G80)</f>
        <v>374</v>
      </c>
      <c r="I83" s="119">
        <f>SUM(-G83,H83)+Tabla3[[#This Row],[Saldo]]</f>
        <v>0.78025258229189376</v>
      </c>
      <c r="J83" s="118">
        <f>SUM('Mar 25'!L80)</f>
        <v>392.05915709378405</v>
      </c>
      <c r="K83" s="108">
        <f>SUM('Pago Cuota MC 2025'!H80)</f>
        <v>391.5</v>
      </c>
      <c r="L83" s="119">
        <f>SUM(-J83,K83)+Tabla3[[#This Row],[Saldo4]]</f>
        <v>0.22109548850784222</v>
      </c>
      <c r="M83" s="122">
        <f>SUM('Abr 25'!L80)</f>
        <v>401.17790513815913</v>
      </c>
      <c r="N83" s="108">
        <f>SUM('Pago Cuota MC 2025'!I80)</f>
        <v>401</v>
      </c>
      <c r="O83" s="119">
        <f>SUM(-M83,N83)+Tabla3[[#This Row],[Saldo7]]</f>
        <v>4.3190350348709217E-2</v>
      </c>
      <c r="P83" s="122">
        <f>SUM('May 25'!L80)</f>
        <v>582.60663817460318</v>
      </c>
      <c r="Q83" s="108">
        <f>SUM('Pago Cuota MC 2025'!J80)</f>
        <v>888</v>
      </c>
      <c r="R83" s="119">
        <f>SUM(-P83,Q83)+Tabla3[[#This Row],[Saldo13]]</f>
        <v>305.43655217574553</v>
      </c>
      <c r="S83" s="122">
        <f>SUM('Jun 25'!L80)</f>
        <v>404.58726507575761</v>
      </c>
      <c r="T83" s="108">
        <f>SUM('Pago Cuota MC 2025'!K80)</f>
        <v>0</v>
      </c>
      <c r="U83" s="119">
        <f>SUM(-S83,T83)+Tabla3[[#This Row],[Saldo132]]</f>
        <v>-99.150712900012081</v>
      </c>
      <c r="V83" s="122">
        <f>SUM('Jul 25'!L80)</f>
        <v>391.49969286815895</v>
      </c>
      <c r="W83" s="108">
        <f>SUM('Pago Cuota MC 2025'!L80)</f>
        <v>0</v>
      </c>
      <c r="X83" s="119">
        <f>SUM(-V83,W83)+Tabla3[[#This Row],[Saldo16]]</f>
        <v>-490.65040576817103</v>
      </c>
      <c r="Y83" s="122">
        <f>SUM('Ago 25'!L80)</f>
        <v>366.57367096718974</v>
      </c>
      <c r="Z83" s="108">
        <f>SUM('Pago Cuota MC 2025'!M80)</f>
        <v>858</v>
      </c>
      <c r="AA83" s="119">
        <f>SUM(-Y83,Z83)+Tabla3[[#This Row],[Saldo19]]</f>
        <v>0.775923264639232</v>
      </c>
      <c r="AB83" s="122">
        <f>SUM('Sep 25'!L80)</f>
        <v>385.78538750788641</v>
      </c>
      <c r="AC83" s="108">
        <f>SUM('Pago Cuota MC 2025'!N80)</f>
        <v>390</v>
      </c>
      <c r="AD83" s="119">
        <f>SUM(-AB83,AC83)+Tabla3[[#This Row],[Saldo22]]</f>
        <v>4.9905357567528199</v>
      </c>
      <c r="AE83" s="122">
        <f>SUM('Oct 25'!L80)</f>
        <v>381.9018350886347</v>
      </c>
      <c r="AF83" s="108">
        <f>SUM('Pago Cuota MC 2025'!O80)</f>
        <v>377</v>
      </c>
      <c r="AG83" s="145">
        <f>SUM(-AE83,AF83)+Tabla3[[#This Row],[Saldo25]]</f>
        <v>8.8700668118121939E-2</v>
      </c>
      <c r="AH83" s="122">
        <f>SUM('Nov 25'!L80)</f>
        <v>412.43184231006444</v>
      </c>
      <c r="AI83" s="108">
        <f>SUM('Pago Cuota MC 2025'!P80)</f>
        <v>412.5</v>
      </c>
      <c r="AJ83" s="119">
        <f>SUM(-AH83,AI83)+Tabla3[[#This Row],[Saldo28]]</f>
        <v>0.15685835805368242</v>
      </c>
      <c r="AK83" s="122">
        <f>SUM('Dic 25'!L80)</f>
        <v>411.00881382652904</v>
      </c>
      <c r="AL83" s="108">
        <f>SUM('Pago Cuota MC 2025'!Q80)</f>
        <v>411</v>
      </c>
      <c r="AM83" s="145">
        <f>SUM(-AK83,AL83)+Tabla3[[#This Row],[Saldo31]]</f>
        <v>0.14804453152464703</v>
      </c>
      <c r="AN83" s="128">
        <f t="shared" si="5"/>
        <v>0.14804453152464703</v>
      </c>
      <c r="AO83" s="29"/>
      <c r="AP83" s="106" t="s">
        <v>12</v>
      </c>
      <c r="AQ83" t="s">
        <v>12</v>
      </c>
    </row>
    <row r="84" spans="1:43" ht="16.149999999999999" thickBot="1" x14ac:dyDescent="0.5">
      <c r="A84" s="312"/>
      <c r="B84" s="16" t="s">
        <v>6</v>
      </c>
      <c r="C84" s="116">
        <v>503</v>
      </c>
      <c r="D84" s="118">
        <f>SUM('Ene 25'!L81)-('Pago Cuota MC 2024'!F81)</f>
        <v>-259.89506400412603</v>
      </c>
      <c r="E84" s="108">
        <f>SUM('Pago Cuota MC 2025'!F81)</f>
        <v>0</v>
      </c>
      <c r="F84" s="119">
        <f t="shared" si="4"/>
        <v>259.89506400412603</v>
      </c>
      <c r="G84" s="118">
        <f>SUM('Feb 25'!L81)</f>
        <v>342.95912259327827</v>
      </c>
      <c r="H84" s="108">
        <f>SUM('Pago Cuota MC 2025'!G81)</f>
        <v>0</v>
      </c>
      <c r="I84" s="119">
        <f>SUM(-G84,H84)+Tabla3[[#This Row],[Saldo]]</f>
        <v>-83.064058589152239</v>
      </c>
      <c r="J84" s="118">
        <f>SUM('Mar 25'!L81)</f>
        <v>351.84294569792797</v>
      </c>
      <c r="K84" s="108">
        <f>SUM('Pago Cuota MC 2025'!H81)</f>
        <v>400</v>
      </c>
      <c r="L84" s="119">
        <f>SUM(-J84,K84)+Tabla3[[#This Row],[Saldo4]]</f>
        <v>-34.907004287080213</v>
      </c>
      <c r="M84" s="122">
        <f>SUM('Abr 25'!L81)</f>
        <v>371.12354486378672</v>
      </c>
      <c r="N84" s="108">
        <f>SUM('Pago Cuota MC 2025'!I81)</f>
        <v>0</v>
      </c>
      <c r="O84" s="119">
        <f>SUM(-M84,N84)+Tabla3[[#This Row],[Saldo7]]</f>
        <v>-406.03054915086693</v>
      </c>
      <c r="P84" s="122">
        <f>SUM('May 25'!L81)</f>
        <v>398.05829531746031</v>
      </c>
      <c r="Q84" s="108">
        <f>SUM('Pago Cuota MC 2025'!J81)</f>
        <v>0</v>
      </c>
      <c r="R84" s="119">
        <f>SUM(-P84,Q84)+Tabla3[[#This Row],[Saldo13]]</f>
        <v>-804.08884446832724</v>
      </c>
      <c r="S84" s="122">
        <f>SUM('Jun 25'!L81)</f>
        <v>405.19861015375648</v>
      </c>
      <c r="T84" s="108">
        <f>SUM('Pago Cuota MC 2025'!K81)</f>
        <v>1209.29</v>
      </c>
      <c r="U84" s="119">
        <f>SUM(-S84,T84)+Tabla3[[#This Row],[Saldo132]]</f>
        <v>2.5453779162489809E-3</v>
      </c>
      <c r="V84" s="122">
        <f>SUM('Jul 25'!L81)</f>
        <v>383.22438306203367</v>
      </c>
      <c r="W84" s="108">
        <f>SUM('Pago Cuota MC 2025'!L81)</f>
        <v>383.22</v>
      </c>
      <c r="X84" s="119">
        <f>SUM(-V84,W84)+Tabla3[[#This Row],[Saldo16]]</f>
        <v>-1.8376841173903813E-3</v>
      </c>
      <c r="Y84" s="122">
        <f>SUM('Ago 25'!L81)</f>
        <v>400.86990754350927</v>
      </c>
      <c r="Z84" s="108">
        <f>SUM('Pago Cuota MC 2025'!M81)</f>
        <v>400.87</v>
      </c>
      <c r="AA84" s="119">
        <f>SUM(-Y84,Z84)+Tabla3[[#This Row],[Saldo19]]</f>
        <v>-1.7452276266567424E-3</v>
      </c>
      <c r="AB84" s="122">
        <f>SUM('Sep 25'!L81)</f>
        <v>380.35956290220815</v>
      </c>
      <c r="AC84" s="108">
        <f>SUM('Pago Cuota MC 2025'!N81)</f>
        <v>380.36</v>
      </c>
      <c r="AD84" s="119">
        <f>SUM(-AB84,AC84)+Tabla3[[#This Row],[Saldo22]]</f>
        <v>-1.3081298347970005E-3</v>
      </c>
      <c r="AE84" s="122">
        <f>SUM('Oct 25'!L81)</f>
        <v>376.50029800254197</v>
      </c>
      <c r="AF84" s="108">
        <f>SUM('Pago Cuota MC 2025'!O81)</f>
        <v>376.5</v>
      </c>
      <c r="AG84" s="145">
        <f>SUM(-AE84,AF84)+Tabla3[[#This Row],[Saldo25]]</f>
        <v>-1.6061323767644353E-3</v>
      </c>
      <c r="AH84" s="122">
        <f>SUM('Nov 25'!L81)</f>
        <v>379.59499386599384</v>
      </c>
      <c r="AI84" s="108">
        <f>SUM('Pago Cuota MC 2025'!P81)</f>
        <v>379.6</v>
      </c>
      <c r="AJ84" s="119">
        <f>SUM(-AH84,AI84)+Tabla3[[#This Row],[Saldo28]]</f>
        <v>3.4000016294157831E-3</v>
      </c>
      <c r="AK84" s="122">
        <f>SUM('Dic 25'!L81)</f>
        <v>380.73285062498087</v>
      </c>
      <c r="AL84" s="108">
        <f>SUM('Pago Cuota MC 2025'!Q81)</f>
        <v>380.73</v>
      </c>
      <c r="AM84" s="145">
        <f>SUM(-AK84,AL84)+Tabla3[[#This Row],[Saldo31]]</f>
        <v>5.4937664856424817E-4</v>
      </c>
      <c r="AN84" s="128">
        <f t="shared" si="5"/>
        <v>5.4937664856424817E-4</v>
      </c>
      <c r="AO84" s="29"/>
      <c r="AP84" s="106" t="s">
        <v>12</v>
      </c>
    </row>
    <row r="85" spans="1:43" ht="16.149999999999999" thickBot="1" x14ac:dyDescent="0.5">
      <c r="A85" s="312"/>
      <c r="B85" s="16" t="s">
        <v>6</v>
      </c>
      <c r="C85" s="116">
        <v>504</v>
      </c>
      <c r="D85" s="118">
        <f>SUM('Ene 25'!L82)-('Pago Cuota MC 2024'!F82)</f>
        <v>343.57010693232382</v>
      </c>
      <c r="E85" s="108">
        <f>SUM('Pago Cuota MC 2025'!F82)</f>
        <v>343.57</v>
      </c>
      <c r="F85" s="119">
        <f t="shared" si="4"/>
        <v>-1.0693232383118811E-4</v>
      </c>
      <c r="G85" s="118">
        <f>SUM('Feb 25'!L82)</f>
        <v>425.22558585160925</v>
      </c>
      <c r="H85" s="108">
        <f>SUM('Pago Cuota MC 2025'!G82)</f>
        <v>425.23</v>
      </c>
      <c r="I85" s="119">
        <f>SUM(-G85,H85)+Tabla3[[#This Row],[Saldo]]</f>
        <v>4.307216066933961E-3</v>
      </c>
      <c r="J85" s="118">
        <f>SUM('Mar 25'!L82)</f>
        <v>430.29870567611772</v>
      </c>
      <c r="K85" s="108">
        <f>SUM('Pago Cuota MC 2025'!H82)</f>
        <v>0</v>
      </c>
      <c r="L85" s="119">
        <f>SUM(-J85,K85)+Tabla3[[#This Row],[Saldo4]]</f>
        <v>-430.29439846005079</v>
      </c>
      <c r="M85" s="122">
        <f>SUM('Abr 25'!L82)</f>
        <v>452.72696821463319</v>
      </c>
      <c r="N85" s="108">
        <f>SUM('Pago Cuota MC 2025'!I82)</f>
        <v>883.02</v>
      </c>
      <c r="O85" s="119">
        <f>SUM(-M85,N85)+Tabla3[[#This Row],[Saldo7]]</f>
        <v>-1.3666746839930966E-3</v>
      </c>
      <c r="P85" s="122">
        <f>SUM('May 25'!L82)</f>
        <v>454.53085960317458</v>
      </c>
      <c r="Q85" s="108">
        <f>SUM('Pago Cuota MC 2025'!J82)</f>
        <v>454.53</v>
      </c>
      <c r="R85" s="119">
        <f>SUM(-P85,Q85)+Tabla3[[#This Row],[Saldo13]]</f>
        <v>-2.226277858596859E-3</v>
      </c>
      <c r="S85" s="122">
        <f>SUM('Jun 25'!L82)</f>
        <v>433.4385620364892</v>
      </c>
      <c r="T85" s="108">
        <f>SUM('Pago Cuota MC 2025'!K82)</f>
        <v>433.44</v>
      </c>
      <c r="U85" s="119">
        <f>SUM(-S85,T85)+Tabla3[[#This Row],[Saldo132]]</f>
        <v>-7.8831434780113341E-4</v>
      </c>
      <c r="V85" s="122">
        <f>SUM('Jul 25'!L82)</f>
        <v>439.84616176391626</v>
      </c>
      <c r="W85" s="108">
        <f>SUM('Pago Cuota MC 2025'!L82)</f>
        <v>439.85</v>
      </c>
      <c r="X85" s="119">
        <f>SUM(-V85,W85)+Tabla3[[#This Row],[Saldo16]]</f>
        <v>3.0499217359647446E-3</v>
      </c>
      <c r="Y85" s="122">
        <f>SUM('Ago 25'!L82)</f>
        <v>411.91227125249645</v>
      </c>
      <c r="Z85" s="108">
        <f>SUM('Pago Cuota MC 2025'!M82)</f>
        <v>0</v>
      </c>
      <c r="AA85" s="119">
        <f>SUM(-Y85,Z85)+Tabla3[[#This Row],[Saldo19]]</f>
        <v>-411.90922133076049</v>
      </c>
      <c r="AB85" s="122">
        <f>SUM('Sep 25'!L82)</f>
        <v>424.97017236593058</v>
      </c>
      <c r="AC85" s="108">
        <f>SUM('Pago Cuota MC 2025'!N82)</f>
        <v>836.88</v>
      </c>
      <c r="AD85" s="119">
        <f>SUM(-AB85,AC85)+Tabla3[[#This Row],[Saldo22]]</f>
        <v>6.0630330892763595E-4</v>
      </c>
      <c r="AE85" s="122">
        <f>SUM('Oct 25'!L82)</f>
        <v>420.91121780988692</v>
      </c>
      <c r="AF85" s="108">
        <f>SUM('Pago Cuota MC 2025'!O82)</f>
        <v>420.91</v>
      </c>
      <c r="AG85" s="145">
        <f>SUM(-AE85,AF85)+Tabla3[[#This Row],[Saldo25]]</f>
        <v>-6.1150657796815722E-4</v>
      </c>
      <c r="AH85" s="122">
        <f>SUM('Nov 25'!L82)</f>
        <v>399.08988781048498</v>
      </c>
      <c r="AI85" s="108">
        <f>SUM('Pago Cuota MC 2025'!P82)</f>
        <v>399.09</v>
      </c>
      <c r="AJ85" s="119">
        <f>SUM(-AH85,AI85)+Tabla3[[#This Row],[Saldo28]]</f>
        <v>-4.9931706297456913E-4</v>
      </c>
      <c r="AK85" s="122">
        <f>SUM('Dic 25'!L82)</f>
        <v>412.31764100374778</v>
      </c>
      <c r="AL85" s="108">
        <f>SUM('Pago Cuota MC 2025'!Q82)</f>
        <v>412.32</v>
      </c>
      <c r="AM85" s="145">
        <f>SUM(-AK85,AL85)+Tabla3[[#This Row],[Saldo31]]</f>
        <v>1.8596791892377951E-3</v>
      </c>
      <c r="AN85" s="128">
        <f t="shared" si="5"/>
        <v>1.8596791892377951E-3</v>
      </c>
      <c r="AO85" s="29"/>
      <c r="AP85" s="106" t="s">
        <v>12</v>
      </c>
      <c r="AQ85" t="s">
        <v>12</v>
      </c>
    </row>
    <row r="86" spans="1:43" ht="16.149999999999999" thickBot="1" x14ac:dyDescent="0.5">
      <c r="A86" s="313"/>
      <c r="B86" s="16" t="s">
        <v>7</v>
      </c>
      <c r="C86" s="116">
        <v>101</v>
      </c>
      <c r="D86" s="118">
        <f>SUM('Ene 25'!L83)-('Pago Cuota MC 2024'!F83)</f>
        <v>-2.2609521547339</v>
      </c>
      <c r="E86" s="108">
        <f>SUM('Pago Cuota MC 2025'!F83)</f>
        <v>0</v>
      </c>
      <c r="F86" s="119">
        <f t="shared" si="4"/>
        <v>2.2609521547339</v>
      </c>
      <c r="G86" s="118">
        <f>SUM('Feb 25'!L83)</f>
        <v>437.07808214896045</v>
      </c>
      <c r="H86" s="108">
        <f>SUM('Pago Cuota MC 2025'!G83)</f>
        <v>0</v>
      </c>
      <c r="I86" s="119">
        <f>SUM(-G86,H86)+Tabla3[[#This Row],[Saldo]]</f>
        <v>-434.81712999422655</v>
      </c>
      <c r="J86" s="118">
        <f>SUM('Mar 25'!L83)</f>
        <v>438.13232448745907</v>
      </c>
      <c r="K86" s="108">
        <f>SUM('Pago Cuota MC 2025'!H83)</f>
        <v>872.95</v>
      </c>
      <c r="L86" s="119">
        <f>SUM(-J86,K86)+Tabla3[[#This Row],[Saldo4]]</f>
        <v>5.4551831442495313E-4</v>
      </c>
      <c r="M86" s="122">
        <f>SUM('Abr 25'!L83)</f>
        <v>467.48780271550879</v>
      </c>
      <c r="N86" s="108">
        <f>SUM('Pago Cuota MC 2025'!I83)</f>
        <v>0</v>
      </c>
      <c r="O86" s="119">
        <f>SUM(-M86,N86)+Tabla3[[#This Row],[Saldo7]]</f>
        <v>-467.48725719719437</v>
      </c>
      <c r="P86" s="122">
        <f>SUM('May 25'!L83)</f>
        <v>467.07071555555558</v>
      </c>
      <c r="Q86" s="108">
        <f>SUM('Pago Cuota MC 2025'!J83)</f>
        <v>934.56</v>
      </c>
      <c r="R86" s="119">
        <f>SUM(-P86,Q86)+Tabla3[[#This Row],[Saldo13]]</f>
        <v>2.0272472499982541E-3</v>
      </c>
      <c r="S86" s="122">
        <f>SUM('Jun 25'!L83)</f>
        <v>487.22327422045907</v>
      </c>
      <c r="T86" s="108">
        <f>SUM('Pago Cuota MC 2025'!K83)</f>
        <v>487.22</v>
      </c>
      <c r="U86" s="119">
        <f>SUM(-S86,T86)+Tabla3[[#This Row],[Saldo132]]</f>
        <v>-1.246973209049429E-3</v>
      </c>
      <c r="V86" s="122">
        <f>SUM('Jul 25'!L83)</f>
        <v>439.15622593924638</v>
      </c>
      <c r="W86" s="108">
        <f>SUM('Pago Cuota MC 2025'!L83)</f>
        <v>439.16</v>
      </c>
      <c r="X86" s="119">
        <f>SUM(-V86,W86)+Tabla3[[#This Row],[Saldo16]]</f>
        <v>2.5270875445926322E-3</v>
      </c>
      <c r="Y86" s="122">
        <f>SUM('Ago 25'!L83)</f>
        <v>462.88935895577748</v>
      </c>
      <c r="Z86" s="108">
        <f>SUM('Pago Cuota MC 2025'!M83)</f>
        <v>462.89</v>
      </c>
      <c r="AA86" s="119">
        <f>SUM(-Y86,Z86)+Tabla3[[#This Row],[Saldo19]]</f>
        <v>3.1681317670972931E-3</v>
      </c>
      <c r="AB86" s="122">
        <f>SUM('Sep 25'!L83)</f>
        <v>481.32184681388014</v>
      </c>
      <c r="AC86" s="108">
        <f>SUM('Pago Cuota MC 2025'!N83)</f>
        <v>481.32</v>
      </c>
      <c r="AD86" s="119">
        <f>SUM(-AB86,AC86)+Tabla3[[#This Row],[Saldo22]]</f>
        <v>1.3213178869477815E-3</v>
      </c>
      <c r="AE86" s="122">
        <f>SUM('Oct 25'!L83)</f>
        <v>477.01064628670815</v>
      </c>
      <c r="AF86" s="108">
        <f>SUM('Pago Cuota MC 2025'!O83)</f>
        <v>477.01</v>
      </c>
      <c r="AG86" s="145">
        <f>SUM(-AE86,AF86)+Tabla3[[#This Row],[Saldo25]]</f>
        <v>6.750311787868668E-4</v>
      </c>
      <c r="AH86" s="122">
        <f>SUM('Nov 25'!L83)</f>
        <v>451.33429815531258</v>
      </c>
      <c r="AI86" s="108">
        <f>SUM('Pago Cuota MC 2025'!P83)</f>
        <v>451.33</v>
      </c>
      <c r="AJ86" s="119">
        <f>SUM(-AH86,AI86)+Tabla3[[#This Row],[Saldo28]]</f>
        <v>-3.6231241338100517E-3</v>
      </c>
      <c r="AK86" s="122">
        <f>SUM('Dic 25'!L83)</f>
        <v>435.5463755904218</v>
      </c>
      <c r="AL86" s="108">
        <f>SUM('Pago Cuota MC 2025'!Q83)</f>
        <v>435.55</v>
      </c>
      <c r="AM86" s="145">
        <f>SUM(-AK86,AL86)+Tabla3[[#This Row],[Saldo31]]</f>
        <v>1.2854443980359065E-6</v>
      </c>
      <c r="AN86" s="128">
        <f t="shared" si="5"/>
        <v>1.2854443980359065E-6</v>
      </c>
      <c r="AO86" s="29"/>
      <c r="AP86" s="106" t="s">
        <v>12</v>
      </c>
    </row>
    <row r="87" spans="1:43" ht="16.149999999999999" thickBot="1" x14ac:dyDescent="0.5">
      <c r="A87" s="313"/>
      <c r="B87" s="16" t="s">
        <v>7</v>
      </c>
      <c r="C87" s="116">
        <v>102</v>
      </c>
      <c r="D87" s="118">
        <f>SUM('Ene 25'!L84)-('Pago Cuota MC 2024'!F84)</f>
        <v>340.42884016807056</v>
      </c>
      <c r="E87" s="108">
        <f>SUM('Pago Cuota MC 2025'!F84)</f>
        <v>340.43</v>
      </c>
      <c r="F87" s="119">
        <f t="shared" si="4"/>
        <v>1.1598319294421344E-3</v>
      </c>
      <c r="G87" s="118">
        <f>SUM('Feb 25'!L84)</f>
        <v>402.87360009256622</v>
      </c>
      <c r="H87" s="108">
        <f>SUM('Pago Cuota MC 2025'!G84)</f>
        <v>402.87</v>
      </c>
      <c r="I87" s="119">
        <f>SUM(-G87,H87)+Tabla3[[#This Row],[Saldo]]</f>
        <v>-2.4402606367743829E-3</v>
      </c>
      <c r="J87" s="118">
        <f>SUM('Mar 25'!L84)</f>
        <v>401.97019967829874</v>
      </c>
      <c r="K87" s="108">
        <f>SUM('Pago Cuota MC 2025'!H84)</f>
        <v>401.97</v>
      </c>
      <c r="L87" s="119">
        <f>SUM(-J87,K87)+Tabla3[[#This Row],[Saldo4]]</f>
        <v>-2.6399389354878622E-3</v>
      </c>
      <c r="M87" s="122">
        <f>SUM('Abr 25'!L84)</f>
        <v>407.02124375462154</v>
      </c>
      <c r="N87" s="108">
        <f>SUM('Pago Cuota MC 2025'!I84)</f>
        <v>407.02</v>
      </c>
      <c r="O87" s="119">
        <f>SUM(-M87,N87)+Tabla3[[#This Row],[Saldo7]]</f>
        <v>-3.8836935570429887E-3</v>
      </c>
      <c r="P87" s="122">
        <f>SUM('May 25'!L84)</f>
        <v>417.91135246031746</v>
      </c>
      <c r="Q87" s="108">
        <f>SUM('Pago Cuota MC 2025'!J84)</f>
        <v>417.92</v>
      </c>
      <c r="R87" s="119">
        <f>SUM(-P87,Q87)+Tabla3[[#This Row],[Saldo13]]</f>
        <v>4.7638461255132825E-3</v>
      </c>
      <c r="S87" s="122">
        <f>SUM('Jun 25'!L84)</f>
        <v>405.43897849695179</v>
      </c>
      <c r="T87" s="108">
        <f>SUM('Pago Cuota MC 2025'!K84)</f>
        <v>405.43</v>
      </c>
      <c r="U87" s="119">
        <f>SUM(-S87,T87)+Tabla3[[#This Row],[Saldo132]]</f>
        <v>-4.2146508262703719E-3</v>
      </c>
      <c r="V87" s="122">
        <f>SUM('Jul 25'!L84)</f>
        <v>399.01450523118228</v>
      </c>
      <c r="W87" s="108">
        <f>SUM('Pago Cuota MC 2025'!L84)</f>
        <v>399.02</v>
      </c>
      <c r="X87" s="119">
        <f>SUM(-V87,W87)+Tabla3[[#This Row],[Saldo16]]</f>
        <v>1.2801179914276872E-3</v>
      </c>
      <c r="Y87" s="122">
        <f>SUM('Ago 25'!L84)</f>
        <v>401.10842885592012</v>
      </c>
      <c r="Z87" s="108">
        <f>SUM('Pago Cuota MC 2025'!M84)</f>
        <v>401.11</v>
      </c>
      <c r="AA87" s="119">
        <f>SUM(-Y87,Z87)+Tabla3[[#This Row],[Saldo19]]</f>
        <v>2.851262071317251E-3</v>
      </c>
      <c r="AB87" s="122">
        <f>SUM('Sep 25'!L84)</f>
        <v>400.33840454258672</v>
      </c>
      <c r="AC87" s="108">
        <f>SUM('Pago Cuota MC 2025'!N84)</f>
        <v>400.34</v>
      </c>
      <c r="AD87" s="119">
        <f>SUM(-AB87,AC87)+Tabla3[[#This Row],[Saldo22]]</f>
        <v>4.4467194845765334E-3</v>
      </c>
      <c r="AE87" s="122">
        <f>SUM('Oct 25'!L84)</f>
        <v>396.38970871897783</v>
      </c>
      <c r="AF87" s="108">
        <f>SUM('Pago Cuota MC 2025'!O84)</f>
        <v>396.39</v>
      </c>
      <c r="AG87" s="145">
        <f>SUM(-AE87,AF87)+Tabla3[[#This Row],[Saldo25]]</f>
        <v>4.7380005067338971E-3</v>
      </c>
      <c r="AH87" s="122">
        <f>SUM('Nov 25'!L84)</f>
        <v>403.24212952621247</v>
      </c>
      <c r="AI87" s="108">
        <f>SUM('Pago Cuota MC 2025'!P84)</f>
        <v>403.24</v>
      </c>
      <c r="AJ87" s="119">
        <f>SUM(-AH87,AI87)+Tabla3[[#This Row],[Saldo28]]</f>
        <v>2.60847429427713E-3</v>
      </c>
      <c r="AK87" s="122">
        <f>SUM('Dic 25'!L84)</f>
        <v>398.02273276487574</v>
      </c>
      <c r="AL87" s="108">
        <f>SUM('Pago Cuota MC 2025'!Q84)</f>
        <v>398.02</v>
      </c>
      <c r="AM87" s="145">
        <f>SUM(-AK87,AL87)+Tabla3[[#This Row],[Saldo31]]</f>
        <v>-1.2429058148200056E-4</v>
      </c>
      <c r="AN87" s="128">
        <f t="shared" si="5"/>
        <v>-1.2429058148200056E-4</v>
      </c>
      <c r="AO87" s="29"/>
      <c r="AP87" s="106" t="s">
        <v>12</v>
      </c>
    </row>
    <row r="88" spans="1:43" ht="16.149999999999999" thickBot="1" x14ac:dyDescent="0.5">
      <c r="A88" s="313"/>
      <c r="B88" s="16" t="s">
        <v>7</v>
      </c>
      <c r="C88" s="116">
        <v>103</v>
      </c>
      <c r="D88" s="118">
        <f>SUM('Ene 25'!L85)-('Pago Cuota MC 2024'!F85)</f>
        <v>316.14640866474701</v>
      </c>
      <c r="E88" s="108">
        <f>SUM('Pago Cuota MC 2025'!F85)</f>
        <v>316.14999999999998</v>
      </c>
      <c r="F88" s="119">
        <f t="shared" si="4"/>
        <v>3.5913352529632903E-3</v>
      </c>
      <c r="G88" s="118">
        <f>SUM('Feb 25'!L85)</f>
        <v>336.09137252207353</v>
      </c>
      <c r="H88" s="108">
        <f>SUM('Pago Cuota MC 2025'!G85)</f>
        <v>336.09</v>
      </c>
      <c r="I88" s="119">
        <f>SUM(-G88,H88)+Tabla3[[#This Row],[Saldo]]</f>
        <v>2.2188131794109722E-3</v>
      </c>
      <c r="J88" s="118">
        <f>SUM('Mar 25'!L85)</f>
        <v>338.63238168484179</v>
      </c>
      <c r="K88" s="108">
        <f>SUM('Pago Cuota MC 2025'!H85)</f>
        <v>338.63</v>
      </c>
      <c r="L88" s="119">
        <f>SUM(-J88,K88)+Tabla3[[#This Row],[Saldo4]]</f>
        <v>-1.6287166238271311E-4</v>
      </c>
      <c r="M88" s="122">
        <f>SUM('Abr 25'!L85)</f>
        <v>330.70813601965358</v>
      </c>
      <c r="N88" s="108">
        <f>SUM('Pago Cuota MC 2025'!I85)</f>
        <v>330.71</v>
      </c>
      <c r="O88" s="119">
        <f>SUM(-M88,N88)+Tabla3[[#This Row],[Saldo7]]</f>
        <v>1.7011086840170719E-3</v>
      </c>
      <c r="P88" s="122">
        <f>SUM('May 25'!L85)</f>
        <v>350.11711317460316</v>
      </c>
      <c r="Q88" s="108">
        <f>SUM('Pago Cuota MC 2025'!J85)</f>
        <v>350.12</v>
      </c>
      <c r="R88" s="119">
        <f>SUM(-P88,Q88)+Tabla3[[#This Row],[Saldo13]]</f>
        <v>4.587934080859668E-3</v>
      </c>
      <c r="S88" s="122">
        <f>SUM('Jun 25'!L85)</f>
        <v>342.20618952438588</v>
      </c>
      <c r="T88" s="108">
        <f>SUM('Pago Cuota MC 2025'!K85)</f>
        <v>342.2</v>
      </c>
      <c r="U88" s="119">
        <f>SUM(-S88,T88)+Tabla3[[#This Row],[Saldo132]]</f>
        <v>-1.6015903050288216E-3</v>
      </c>
      <c r="V88" s="122">
        <f>SUM('Jul 25'!L85)</f>
        <v>338.13942897380662</v>
      </c>
      <c r="W88" s="108">
        <f>SUM('Pago Cuota MC 2025'!L85)</f>
        <v>338.14</v>
      </c>
      <c r="X88" s="119">
        <f>SUM(-V88,W88)+Tabla3[[#This Row],[Saldo16]]</f>
        <v>-1.0305641116588049E-3</v>
      </c>
      <c r="Y88" s="122">
        <f>SUM('Ago 25'!L85)</f>
        <v>413.13615929814551</v>
      </c>
      <c r="Z88" s="108">
        <f>SUM('Pago Cuota MC 2025'!M85)</f>
        <v>413.14</v>
      </c>
      <c r="AA88" s="119">
        <f>SUM(-Y88,Z88)+Tabla3[[#This Row],[Saldo19]]</f>
        <v>2.8101377428129126E-3</v>
      </c>
      <c r="AB88" s="122">
        <f>SUM('Sep 25'!L85)</f>
        <v>337.71032883280753</v>
      </c>
      <c r="AC88" s="108">
        <f>SUM('Pago Cuota MC 2025'!N85)</f>
        <v>337.71</v>
      </c>
      <c r="AD88" s="119">
        <f>SUM(-AB88,AC88)+Tabla3[[#This Row],[Saldo22]]</f>
        <v>2.4813049352587768E-3</v>
      </c>
      <c r="AE88" s="122">
        <f>SUM('Oct 25'!L85)</f>
        <v>334.04197392066357</v>
      </c>
      <c r="AF88" s="108">
        <f>SUM('Pago Cuota MC 2025'!O85)</f>
        <v>334.04</v>
      </c>
      <c r="AG88" s="145">
        <f>SUM(-AE88,AF88)+Tabla3[[#This Row],[Saldo25]]</f>
        <v>5.0738427171381772E-4</v>
      </c>
      <c r="AH88" s="122">
        <f>SUM('Nov 25'!L85)</f>
        <v>340.55757031679281</v>
      </c>
      <c r="AI88" s="108">
        <f>SUM('Pago Cuota MC 2025'!P85)</f>
        <v>340.56</v>
      </c>
      <c r="AJ88" s="119">
        <f>SUM(-AH88,AI88)+Tabla3[[#This Row],[Saldo28]]</f>
        <v>2.9370674789106488E-3</v>
      </c>
      <c r="AK88" s="122">
        <f>SUM('Dic 25'!L85)</f>
        <v>338.6184866493104</v>
      </c>
      <c r="AL88" s="108">
        <f>SUM('Pago Cuota MC 2025'!Q85)</f>
        <v>0</v>
      </c>
      <c r="AM88" s="145">
        <f>SUM(-AK88,AL88)+Tabla3[[#This Row],[Saldo31]]</f>
        <v>-338.61554958183149</v>
      </c>
      <c r="AN88" s="128">
        <f t="shared" si="5"/>
        <v>-338.61554958183149</v>
      </c>
      <c r="AO88" s="29"/>
      <c r="AP88" s="106">
        <f>SUM(Tabla3[[#This Row],[Saldo Anual]])</f>
        <v>-338.61554958183149</v>
      </c>
      <c r="AQ88" t="s">
        <v>12</v>
      </c>
    </row>
    <row r="89" spans="1:43" ht="16.149999999999999" thickBot="1" x14ac:dyDescent="0.5">
      <c r="A89" s="313"/>
      <c r="B89" s="16" t="s">
        <v>7</v>
      </c>
      <c r="C89" s="116">
        <v>104</v>
      </c>
      <c r="D89" s="118">
        <f>SUM('Ene 25'!L86)-('Pago Cuota MC 2024'!F86)</f>
        <v>329.92925818040106</v>
      </c>
      <c r="E89" s="108">
        <f>SUM('Pago Cuota MC 2025'!F86)</f>
        <v>329.93</v>
      </c>
      <c r="F89" s="119">
        <f t="shared" si="4"/>
        <v>7.4181959894303873E-4</v>
      </c>
      <c r="G89" s="118">
        <f>SUM('Feb 25'!L86)</f>
        <v>377.58488562375396</v>
      </c>
      <c r="H89" s="108">
        <f>SUM('Pago Cuota MC 2025'!G86)</f>
        <v>377.58</v>
      </c>
      <c r="I89" s="119">
        <f>SUM(-G89,H89)+Tabla3[[#This Row],[Saldo]]</f>
        <v>-4.1438041550350135E-3</v>
      </c>
      <c r="J89" s="118">
        <f>SUM('Mar 25'!L86)</f>
        <v>383.66290267720825</v>
      </c>
      <c r="K89" s="108">
        <f>SUM('Pago Cuota MC 2025'!H86)</f>
        <v>383.67</v>
      </c>
      <c r="L89" s="119">
        <f>SUM(-J89,K89)+Tabla3[[#This Row],[Saldo4]]</f>
        <v>2.9535186367297683E-3</v>
      </c>
      <c r="M89" s="122">
        <f>SUM('Abr 25'!L86)</f>
        <v>398.37619302490754</v>
      </c>
      <c r="N89" s="108">
        <f>SUM('Pago Cuota MC 2025'!I86)</f>
        <v>398.37</v>
      </c>
      <c r="O89" s="119">
        <f>SUM(-M89,N89)+Tabla3[[#This Row],[Saldo7]]</f>
        <v>-3.2395062708019395E-3</v>
      </c>
      <c r="P89" s="122">
        <f>SUM('May 25'!L86)</f>
        <v>399.45344174603179</v>
      </c>
      <c r="Q89" s="108">
        <f>SUM('Pago Cuota MC 2025'!J86)</f>
        <v>399.45</v>
      </c>
      <c r="R89" s="119">
        <f>SUM(-P89,Q89)+Tabla3[[#This Row],[Saldo13]]</f>
        <v>-6.6812523025987502E-3</v>
      </c>
      <c r="S89" s="122">
        <f>SUM('Jun 25'!L86)</f>
        <v>398.52623468307331</v>
      </c>
      <c r="T89" s="108">
        <f>SUM('Pago Cuota MC 2025'!K86)</f>
        <v>398.53</v>
      </c>
      <c r="U89" s="119">
        <f>SUM(-S89,T89)+Tabla3[[#This Row],[Saldo132]]</f>
        <v>-2.9159353759382611E-3</v>
      </c>
      <c r="V89" s="122">
        <f>SUM('Jul 25'!L86)</f>
        <v>388.79091073834724</v>
      </c>
      <c r="W89" s="108">
        <f>SUM('Pago Cuota MC 2025'!L86)</f>
        <v>388.79</v>
      </c>
      <c r="X89" s="119">
        <f>SUM(-V89,W89)+Tabla3[[#This Row],[Saldo16]]</f>
        <v>-3.8266737231538173E-3</v>
      </c>
      <c r="Y89" s="122">
        <f>SUM('Ago 25'!L86)</f>
        <v>391.04752169472181</v>
      </c>
      <c r="Z89" s="108">
        <f>SUM('Pago Cuota MC 2025'!M86)</f>
        <v>391.05</v>
      </c>
      <c r="AA89" s="119">
        <f>SUM(-Y89,Z89)+Tabla3[[#This Row],[Saldo19]]</f>
        <v>-1.3483684449511202E-3</v>
      </c>
      <c r="AB89" s="122">
        <f>SUM('Sep 25'!L86)</f>
        <v>386.13493955835963</v>
      </c>
      <c r="AC89" s="108">
        <f>SUM('Pago Cuota MC 2025'!N86)</f>
        <v>386.14</v>
      </c>
      <c r="AD89" s="119">
        <f>SUM(-AB89,AC89)+Tabla3[[#This Row],[Saldo22]]</f>
        <v>3.7120731954018993E-3</v>
      </c>
      <c r="AE89" s="122">
        <f>SUM('Oct 25'!L86)</f>
        <v>382.24982244564853</v>
      </c>
      <c r="AF89" s="108">
        <f>SUM('Pago Cuota MC 2025'!O86)</f>
        <v>382.25</v>
      </c>
      <c r="AG89" s="145">
        <f>SUM(-AE89,AF89)+Tabla3[[#This Row],[Saldo25]]</f>
        <v>3.8896275468687236E-3</v>
      </c>
      <c r="AH89" s="122">
        <f>SUM('Nov 25'!L86)</f>
        <v>387.83199344547234</v>
      </c>
      <c r="AI89" s="108">
        <f>SUM('Pago Cuota MC 2025'!P86)</f>
        <v>387.83</v>
      </c>
      <c r="AJ89" s="119">
        <f>SUM(-AH89,AI89)+Tabla3[[#This Row],[Saldo28]]</f>
        <v>1.8961820745175828E-3</v>
      </c>
      <c r="AK89" s="122">
        <f>SUM('Dic 25'!L86)</f>
        <v>390.13046558212761</v>
      </c>
      <c r="AL89" s="108">
        <f>SUM('Pago Cuota MC 2025'!Q86)</f>
        <v>0</v>
      </c>
      <c r="AM89" s="145">
        <f>SUM(-AK89,AL89)+Tabla3[[#This Row],[Saldo31]]</f>
        <v>-390.1285694000531</v>
      </c>
      <c r="AN89" s="128">
        <f t="shared" si="5"/>
        <v>-390.1285694000531</v>
      </c>
      <c r="AO89" s="29"/>
      <c r="AP89" s="106">
        <f>SUM(Tabla3[[#This Row],[Saldo Anual]])</f>
        <v>-390.1285694000531</v>
      </c>
    </row>
    <row r="90" spans="1:43" ht="16.149999999999999" thickBot="1" x14ac:dyDescent="0.5">
      <c r="A90" s="313"/>
      <c r="B90" s="16" t="s">
        <v>7</v>
      </c>
      <c r="C90" s="116">
        <v>201</v>
      </c>
      <c r="D90" s="118">
        <f>SUM('Ene 25'!L87)-('Pago Cuota MC 2024'!F87)</f>
        <v>347.83212642485063</v>
      </c>
      <c r="E90" s="108">
        <f>SUM('Pago Cuota MC 2025'!F87)</f>
        <v>348</v>
      </c>
      <c r="F90" s="119">
        <f t="shared" si="4"/>
        <v>0.16787357514937185</v>
      </c>
      <c r="G90" s="118">
        <f>SUM('Feb 25'!L87)</f>
        <v>420.54871829250931</v>
      </c>
      <c r="H90" s="108">
        <f>SUM('Pago Cuota MC 2025'!G87)</f>
        <v>421</v>
      </c>
      <c r="I90" s="119">
        <f>SUM(-G90,H90)+Tabla3[[#This Row],[Saldo]]</f>
        <v>0.61915528264006525</v>
      </c>
      <c r="J90" s="118">
        <f>SUM('Mar 25'!L87)</f>
        <v>402.65087072519077</v>
      </c>
      <c r="K90" s="108">
        <f>SUM('Pago Cuota MC 2025'!H87)</f>
        <v>403</v>
      </c>
      <c r="L90" s="119">
        <f>SUM(-J90,K90)+Tabla3[[#This Row],[Saldo4]]</f>
        <v>0.96828455744929443</v>
      </c>
      <c r="M90" s="122">
        <f>SUM('Abr 25'!L87)</f>
        <v>431.22413272134656</v>
      </c>
      <c r="N90" s="108">
        <f>SUM('Pago Cuota MC 2025'!I87)</f>
        <v>431</v>
      </c>
      <c r="O90" s="119">
        <f>SUM(-M90,N90)+Tabla3[[#This Row],[Saldo7]]</f>
        <v>0.74415183610273061</v>
      </c>
      <c r="P90" s="122">
        <f>SUM('May 25'!L87)</f>
        <v>447.58805126984129</v>
      </c>
      <c r="Q90" s="108">
        <f>SUM('Pago Cuota MC 2025'!J87)</f>
        <v>447</v>
      </c>
      <c r="R90" s="119">
        <f>SUM(-P90,Q90)+Tabla3[[#This Row],[Saldo13]]</f>
        <v>0.15610056626144342</v>
      </c>
      <c r="S90" s="122">
        <f>SUM('Jun 25'!L87)</f>
        <v>453.07550821723146</v>
      </c>
      <c r="T90" s="108">
        <f>SUM('Pago Cuota MC 2025'!K87)</f>
        <v>453</v>
      </c>
      <c r="U90" s="119">
        <f>SUM(-S90,T90)+Tabla3[[#This Row],[Saldo132]]</f>
        <v>8.0592349029984689E-2</v>
      </c>
      <c r="V90" s="122">
        <f>SUM('Jul 25'!L87)</f>
        <v>457.96089725141269</v>
      </c>
      <c r="W90" s="108">
        <f>SUM('Pago Cuota MC 2025'!L87)</f>
        <v>458</v>
      </c>
      <c r="X90" s="119">
        <f>SUM(-V90,W90)+Tabla3[[#This Row],[Saldo16]]</f>
        <v>0.11969509761729569</v>
      </c>
      <c r="Y90" s="122">
        <f>SUM('Ago 25'!L87)</f>
        <v>425.31247678744649</v>
      </c>
      <c r="Z90" s="108">
        <f>SUM('Pago Cuota MC 2025'!M87)</f>
        <v>426</v>
      </c>
      <c r="AA90" s="119">
        <f>SUM(-Y90,Z90)+Tabla3[[#This Row],[Saldo19]]</f>
        <v>0.80721831017081058</v>
      </c>
      <c r="AB90" s="122">
        <f>SUM('Sep 25'!L87)</f>
        <v>453.93638561514194</v>
      </c>
      <c r="AC90" s="108">
        <f>SUM('Pago Cuota MC 2025'!N87)</f>
        <v>454</v>
      </c>
      <c r="AD90" s="119">
        <f>SUM(-AB90,AC90)+Tabla3[[#This Row],[Saldo22]]</f>
        <v>0.87083269502886651</v>
      </c>
      <c r="AE90" s="122">
        <f>SUM('Oct 25'!L87)</f>
        <v>449.74777012776769</v>
      </c>
      <c r="AF90" s="108">
        <f>SUM('Pago Cuota MC 2025'!O87)</f>
        <v>449</v>
      </c>
      <c r="AG90" s="145">
        <f>SUM(-AE90,AF90)+Tabla3[[#This Row],[Saldo25]]</f>
        <v>0.12306256726117226</v>
      </c>
      <c r="AH90" s="122">
        <f>SUM('Nov 25'!L87)</f>
        <v>463.01297418559011</v>
      </c>
      <c r="AI90" s="108">
        <f>SUM('Pago Cuota MC 2025'!P87)</f>
        <v>463</v>
      </c>
      <c r="AJ90" s="119">
        <f>SUM(-AH90,AI90)+Tabla3[[#This Row],[Saldo28]]</f>
        <v>0.11008838167106205</v>
      </c>
      <c r="AK90" s="122">
        <f>SUM('Dic 25'!L87)</f>
        <v>459.90313840490899</v>
      </c>
      <c r="AL90" s="108">
        <f>SUM('Pago Cuota MC 2025'!Q87)</f>
        <v>460</v>
      </c>
      <c r="AM90" s="145">
        <f>SUM(-AK90,AL90)+Tabla3[[#This Row],[Saldo31]]</f>
        <v>0.20694997676207549</v>
      </c>
      <c r="AN90" s="128">
        <f t="shared" si="5"/>
        <v>0.20694997676207549</v>
      </c>
      <c r="AO90" s="29"/>
      <c r="AP90" s="106" t="s">
        <v>12</v>
      </c>
    </row>
    <row r="91" spans="1:43" ht="16.149999999999999" thickBot="1" x14ac:dyDescent="0.5">
      <c r="A91" s="313"/>
      <c r="B91" s="16" t="s">
        <v>7</v>
      </c>
      <c r="C91" s="116">
        <v>202</v>
      </c>
      <c r="D91" s="118">
        <f>SUM('Ene 25'!L88)-('Pago Cuota MC 2024'!F88)</f>
        <v>309.99990822783525</v>
      </c>
      <c r="E91" s="108">
        <f>SUM('Pago Cuota MC 2025'!F88)</f>
        <v>0</v>
      </c>
      <c r="F91" s="119">
        <f t="shared" si="4"/>
        <v>-309.99990822783525</v>
      </c>
      <c r="G91" s="118">
        <f>SUM('Feb 25'!L88)</f>
        <v>320.83289658929084</v>
      </c>
      <c r="H91" s="108">
        <f>SUM('Pago Cuota MC 2025'!G88)</f>
        <v>0</v>
      </c>
      <c r="I91" s="119">
        <f>SUM(-G91,H91)+Tabla3[[#This Row],[Saldo]]</f>
        <v>-630.83280481712609</v>
      </c>
      <c r="J91" s="118">
        <f>SUM('Mar 25'!L88)</f>
        <v>326.08521423664115</v>
      </c>
      <c r="K91" s="108">
        <f>SUM('Pago Cuota MC 2025'!H88)</f>
        <v>0</v>
      </c>
      <c r="L91" s="119">
        <f>SUM(-J91,K91)+Tabla3[[#This Row],[Saldo4]]</f>
        <v>-956.91801905376724</v>
      </c>
      <c r="M91" s="122">
        <f>SUM('Abr 25'!L88)</f>
        <v>323.23504900856193</v>
      </c>
      <c r="N91" s="108">
        <f>SUM('Pago Cuota MC 2025'!I88)</f>
        <v>0</v>
      </c>
      <c r="O91" s="119">
        <f>SUM(-M91,N91)+Tabla3[[#This Row],[Saldo7]]</f>
        <v>-1280.1530680623291</v>
      </c>
      <c r="P91" s="122">
        <f>SUM('May 25'!L88)</f>
        <v>336.26030484126983</v>
      </c>
      <c r="Q91" s="108">
        <f>SUM('Pago Cuota MC 2025'!J88)</f>
        <v>1616.41</v>
      </c>
      <c r="R91" s="119">
        <f>SUM(-P91,Q91)+Tabla3[[#This Row],[Saldo13]]</f>
        <v>-3.3729035988017131E-3</v>
      </c>
      <c r="S91" s="122">
        <f>SUM('Jun 25'!L88)</f>
        <v>337.72706136408465</v>
      </c>
      <c r="T91" s="108">
        <f>SUM('Pago Cuota MC 2025'!K88)</f>
        <v>0</v>
      </c>
      <c r="U91" s="119">
        <f>SUM(-S91,T91)+Tabla3[[#This Row],[Saldo132]]</f>
        <v>-337.73043426768345</v>
      </c>
      <c r="V91" s="122">
        <f>SUM('Jul 25'!L88)</f>
        <v>326.79076867597018</v>
      </c>
      <c r="W91" s="108">
        <f>SUM('Pago Cuota MC 2025'!L88)</f>
        <v>0</v>
      </c>
      <c r="X91" s="119">
        <f>SUM(-V91,W91)+Tabla3[[#This Row],[Saldo16]]</f>
        <v>-664.52120294365363</v>
      </c>
      <c r="Y91" s="122">
        <f>SUM('Ago 25'!L88)</f>
        <v>365.25368409129817</v>
      </c>
      <c r="Z91" s="108">
        <f>SUM('Pago Cuota MC 2025'!M88)</f>
        <v>1029.77</v>
      </c>
      <c r="AA91" s="119">
        <f>SUM(-Y91,Z91)+Tabla3[[#This Row],[Saldo19]]</f>
        <v>-4.8870349518210787E-3</v>
      </c>
      <c r="AB91" s="122">
        <f>SUM('Sep 25'!L88)</f>
        <v>332.01651432176652</v>
      </c>
      <c r="AC91" s="108">
        <f>SUM('Pago Cuota MC 2025'!N88)</f>
        <v>332.02</v>
      </c>
      <c r="AD91" s="119">
        <f>SUM(-AB91,AC91)+Tabla3[[#This Row],[Saldo22]]</f>
        <v>-1.4013567183610576E-3</v>
      </c>
      <c r="AE91" s="122">
        <f>SUM('Oct 25'!L88)</f>
        <v>328.37364652752689</v>
      </c>
      <c r="AF91" s="108">
        <f>SUM('Pago Cuota MC 2025'!O88)</f>
        <v>382.25</v>
      </c>
      <c r="AG91" s="145">
        <f>SUM(-AE91,AF91)+Tabla3[[#This Row],[Saldo25]]</f>
        <v>53.874952115754752</v>
      </c>
      <c r="AH91" s="122">
        <f>SUM('Nov 25'!L88)</f>
        <v>323.73027334454724</v>
      </c>
      <c r="AI91" s="108">
        <f>SUM('Pago Cuota MC 2025'!P88)</f>
        <v>269.86</v>
      </c>
      <c r="AJ91" s="119">
        <f>SUM(-AH91,AI91)+Tabla3[[#This Row],[Saldo28]]</f>
        <v>4.6787712075229138E-3</v>
      </c>
      <c r="AK91" s="122">
        <f>SUM('Dic 25'!L88)</f>
        <v>320.69187777455232</v>
      </c>
      <c r="AL91" s="108">
        <f>SUM('Pago Cuota MC 2025'!Q88)</f>
        <v>0</v>
      </c>
      <c r="AM91" s="145">
        <f>SUM(-AK91,AL91)+Tabla3[[#This Row],[Saldo31]]</f>
        <v>-320.6871990033448</v>
      </c>
      <c r="AN91" s="128">
        <f t="shared" si="5"/>
        <v>-320.6871990033448</v>
      </c>
      <c r="AO91" s="29"/>
      <c r="AP91" s="106">
        <f>SUM(Tabla3[[#This Row],[Saldo Anual]])</f>
        <v>-320.6871990033448</v>
      </c>
    </row>
    <row r="92" spans="1:43" ht="16.149999999999999" thickBot="1" x14ac:dyDescent="0.5">
      <c r="A92" s="313"/>
      <c r="B92" s="16" t="s">
        <v>7</v>
      </c>
      <c r="C92" s="116">
        <v>203</v>
      </c>
      <c r="D92" s="118">
        <f>SUM('Ene 25'!L89)-('Pago Cuota MC 2024'!F89)</f>
        <v>361.41108792175265</v>
      </c>
      <c r="E92" s="108">
        <f>SUM('Pago Cuota MC 2025'!F89)</f>
        <v>361.41</v>
      </c>
      <c r="F92" s="119">
        <f t="shared" si="4"/>
        <v>-1.0879217526280627E-3</v>
      </c>
      <c r="G92" s="118">
        <f>SUM('Feb 25'!L89)</f>
        <v>457.34972213756771</v>
      </c>
      <c r="H92" s="108">
        <f>SUM('Pago Cuota MC 2025'!G89)</f>
        <v>457.35</v>
      </c>
      <c r="I92" s="119">
        <f>SUM(-G92,H92)+Tabla3[[#This Row],[Saldo]]</f>
        <v>-8.1005932031530392E-4</v>
      </c>
      <c r="J92" s="118">
        <f>SUM('Mar 25'!L89)</f>
        <v>458.90262770447106</v>
      </c>
      <c r="K92" s="108">
        <f>SUM('Pago Cuota MC 2025'!H89)</f>
        <v>458.9</v>
      </c>
      <c r="L92" s="119">
        <f>SUM(-J92,K92)+Tabla3[[#This Row],[Saldo4]]</f>
        <v>-3.4377637913962644E-3</v>
      </c>
      <c r="M92" s="122">
        <f>SUM('Abr 25'!L89)</f>
        <v>475.29925259875461</v>
      </c>
      <c r="N92" s="108">
        <f>SUM('Pago Cuota MC 2025'!I89)</f>
        <v>475.3</v>
      </c>
      <c r="O92" s="119">
        <f>SUM(-M92,N92)+Tabla3[[#This Row],[Saldo7]]</f>
        <v>-2.6903625459908653E-3</v>
      </c>
      <c r="P92" s="122">
        <f>SUM('May 25'!L89)</f>
        <v>468.92679531746035</v>
      </c>
      <c r="Q92" s="108">
        <f>SUM('Pago Cuota MC 2025'!J89)</f>
        <v>468.93</v>
      </c>
      <c r="R92" s="119">
        <f>SUM(-P92,Q92)+Tabla3[[#This Row],[Saldo13]]</f>
        <v>5.1431999366968739E-4</v>
      </c>
      <c r="S92" s="122">
        <f>SUM('Jun 25'!L89)</f>
        <v>475.2913634081944</v>
      </c>
      <c r="T92" s="108">
        <f>SUM('Pago Cuota MC 2025'!K89)</f>
        <v>475.29</v>
      </c>
      <c r="U92" s="119">
        <f>SUM(-S92,T92)+Tabla3[[#This Row],[Saldo132]]</f>
        <v>-8.4908820070950242E-4</v>
      </c>
      <c r="V92" s="122">
        <f>SUM('Jul 25'!L89)</f>
        <v>455.56180222471983</v>
      </c>
      <c r="W92" s="108">
        <f>SUM('Pago Cuota MC 2025'!L89)</f>
        <v>455.56</v>
      </c>
      <c r="X92" s="119">
        <f>SUM(-V92,W92)+Tabla3[[#This Row],[Saldo16]]</f>
        <v>-2.6513129205341102E-3</v>
      </c>
      <c r="Y92" s="122">
        <f>SUM('Ago 25'!L89)</f>
        <v>453.02787125249648</v>
      </c>
      <c r="Z92" s="108">
        <f>SUM('Pago Cuota MC 2025'!M89)</f>
        <v>453.03</v>
      </c>
      <c r="AA92" s="119">
        <f>SUM(-Y92,Z92)+Tabla3[[#This Row],[Saldo19]]</f>
        <v>-5.2256541704309711E-4</v>
      </c>
      <c r="AB92" s="122">
        <f>SUM('Sep 25'!L89)</f>
        <v>429.07158309148264</v>
      </c>
      <c r="AC92" s="108">
        <f>SUM('Pago Cuota MC 2025'!N89)</f>
        <v>429.07</v>
      </c>
      <c r="AD92" s="119">
        <f>SUM(-AB92,AC92)+Tabla3[[#This Row],[Saldo22]]</f>
        <v>-2.1056568996868918E-3</v>
      </c>
      <c r="AE92" s="122">
        <f>SUM('Oct 25'!L89)</f>
        <v>424.99426946551608</v>
      </c>
      <c r="AF92" s="108">
        <f>SUM('Pago Cuota MC 2025'!O89)</f>
        <v>425</v>
      </c>
      <c r="AG92" s="145">
        <f>SUM(-AE92,AF92)+Tabla3[[#This Row],[Saldo25]]</f>
        <v>3.62487758422958E-3</v>
      </c>
      <c r="AH92" s="122">
        <f>SUM('Nov 25'!L89)</f>
        <v>439.65959176338657</v>
      </c>
      <c r="AI92" s="108">
        <f>SUM('Pago Cuota MC 2025'!P89)</f>
        <v>439.66</v>
      </c>
      <c r="AJ92" s="119">
        <f>SUM(-AH92,AI92)+Tabla3[[#This Row],[Saldo28]]</f>
        <v>4.0331141976821527E-3</v>
      </c>
      <c r="AK92" s="122">
        <f>SUM('Dic 25'!L89)</f>
        <v>439.40604011903667</v>
      </c>
      <c r="AL92" s="108">
        <f>SUM('Pago Cuota MC 2025'!Q89)</f>
        <v>439.4</v>
      </c>
      <c r="AM92" s="145">
        <f>SUM(-AK92,AL92)+Tabla3[[#This Row],[Saldo31]]</f>
        <v>-2.0070048390152806E-3</v>
      </c>
      <c r="AN92" s="128">
        <f t="shared" si="5"/>
        <v>-2.0070048390152806E-3</v>
      </c>
      <c r="AO92" s="29"/>
      <c r="AP92" s="106" t="s">
        <v>12</v>
      </c>
    </row>
    <row r="93" spans="1:43" ht="16.149999999999999" thickBot="1" x14ac:dyDescent="0.5">
      <c r="A93" s="313"/>
      <c r="B93" s="16" t="s">
        <v>7</v>
      </c>
      <c r="C93" s="116">
        <v>204</v>
      </c>
      <c r="D93" s="118">
        <f>SUM('Ene 25'!L90)-('Pago Cuota MC 2024'!F90)</f>
        <v>310.15881128507647</v>
      </c>
      <c r="E93" s="108">
        <f>SUM('Pago Cuota MC 2025'!F90)</f>
        <v>310.2</v>
      </c>
      <c r="F93" s="119">
        <f t="shared" si="4"/>
        <v>4.1188714923521275E-2</v>
      </c>
      <c r="G93" s="118">
        <f>SUM('Feb 25'!L90)</f>
        <v>320.98931356451158</v>
      </c>
      <c r="H93" s="108">
        <f>SUM('Pago Cuota MC 2025'!G90)</f>
        <v>321</v>
      </c>
      <c r="I93" s="119">
        <f>SUM(-G93,H93)+Tabla3[[#This Row],[Saldo]]</f>
        <v>5.1875150411945015E-2</v>
      </c>
      <c r="J93" s="118">
        <f>SUM('Mar 25'!L90)</f>
        <v>326.79342688658664</v>
      </c>
      <c r="K93" s="108">
        <f>SUM('Pago Cuota MC 2025'!H90)</f>
        <v>326.7</v>
      </c>
      <c r="L93" s="119">
        <f>SUM(-J93,K93)+Tabla3[[#This Row],[Saldo4]]</f>
        <v>-4.1551736174710641E-2</v>
      </c>
      <c r="M93" s="122">
        <f>SUM('Abr 25'!L90)</f>
        <v>314.21097195076862</v>
      </c>
      <c r="N93" s="108">
        <f>SUM('Pago Cuota MC 2025'!I90)</f>
        <v>314.2</v>
      </c>
      <c r="O93" s="119">
        <f>SUM(-M93,N93)+Tabla3[[#This Row],[Saldo7]]</f>
        <v>-5.2523686943345638E-2</v>
      </c>
      <c r="P93" s="122">
        <f>SUM('May 25'!L90)</f>
        <v>336.79531674603174</v>
      </c>
      <c r="Q93" s="108">
        <f>SUM('Pago Cuota MC 2025'!J90)</f>
        <v>336</v>
      </c>
      <c r="R93" s="119">
        <f>SUM(-P93,Q93)+Tabla3[[#This Row],[Saldo13]]</f>
        <v>-0.84784043297509015</v>
      </c>
      <c r="S93" s="122">
        <f>SUM('Jun 25'!L90)</f>
        <v>329.98509229469249</v>
      </c>
      <c r="T93" s="108">
        <f>SUM('Pago Cuota MC 2025'!K90)</f>
        <v>330</v>
      </c>
      <c r="U93" s="119">
        <f>SUM(-S93,T93)+Tabla3[[#This Row],[Saldo132]]</f>
        <v>-0.83293272766758264</v>
      </c>
      <c r="V93" s="122">
        <f>SUM('Jul 25'!L90)</f>
        <v>324.3603129299741</v>
      </c>
      <c r="W93" s="108">
        <f>SUM('Pago Cuota MC 2025'!L90)</f>
        <v>325</v>
      </c>
      <c r="X93" s="119">
        <f>SUM(-V93,W93)+Tabla3[[#This Row],[Saldo16]]</f>
        <v>-0.19324565764168256</v>
      </c>
      <c r="Y93" s="122">
        <f>SUM('Ago 25'!L90)</f>
        <v>323.42477453352353</v>
      </c>
      <c r="Z93" s="108">
        <f>SUM('Pago Cuota MC 2025'!M90)</f>
        <v>323.60000000000002</v>
      </c>
      <c r="AA93" s="119">
        <f>SUM(-Y93,Z93)+Tabla3[[#This Row],[Saldo19]]</f>
        <v>-1.8020191165192045E-2</v>
      </c>
      <c r="AB93" s="122">
        <f>SUM('Sep 25'!L90)</f>
        <v>321.49111369085171</v>
      </c>
      <c r="AC93" s="108">
        <f>SUM('Pago Cuota MC 2025'!N90)</f>
        <v>321.5</v>
      </c>
      <c r="AD93" s="119">
        <f>SUM(-AB93,AC93)+Tabla3[[#This Row],[Saldo22]]</f>
        <v>-9.1338820168971324E-3</v>
      </c>
      <c r="AE93" s="122">
        <f>SUM('Oct 25'!L90)</f>
        <v>317.89536055522103</v>
      </c>
      <c r="AF93" s="108">
        <f>SUM('Pago Cuota MC 2025'!O90)</f>
        <v>318</v>
      </c>
      <c r="AG93" s="145">
        <f>SUM(-AE93,AF93)+Tabla3[[#This Row],[Saldo25]]</f>
        <v>9.5505562762070895E-2</v>
      </c>
      <c r="AH93" s="122">
        <f>SUM('Nov 25'!L90)</f>
        <v>324.56389739837397</v>
      </c>
      <c r="AI93" s="108">
        <f>SUM('Pago Cuota MC 2025'!P90)</f>
        <v>324</v>
      </c>
      <c r="AJ93" s="119">
        <f>SUM(-AH93,AI93)+Tabla3[[#This Row],[Saldo28]]</f>
        <v>-0.46839183561189657</v>
      </c>
      <c r="AK93" s="122">
        <f>SUM('Dic 25'!L90)</f>
        <v>321.39935192440026</v>
      </c>
      <c r="AL93" s="108">
        <f>SUM('Pago Cuota MC 2025'!Q90)</f>
        <v>321</v>
      </c>
      <c r="AM93" s="145">
        <f>SUM(-AK93,AL93)+Tabla3[[#This Row],[Saldo31]]</f>
        <v>-0.86774376001216069</v>
      </c>
      <c r="AN93" s="128">
        <f t="shared" si="5"/>
        <v>-0.86774376001216069</v>
      </c>
      <c r="AO93" s="29"/>
      <c r="AP93" s="106">
        <f>SUM(Tabla3[[#This Row],[Saldo Anual]])</f>
        <v>-0.86774376001216069</v>
      </c>
    </row>
    <row r="94" spans="1:43" ht="16.149999999999999" thickBot="1" x14ac:dyDescent="0.5">
      <c r="A94" s="313"/>
      <c r="B94" s="16" t="s">
        <v>7</v>
      </c>
      <c r="C94" s="116">
        <v>301</v>
      </c>
      <c r="D94" s="118">
        <f>SUM('Ene 25'!L91)-('Pago Cuota MC 2024'!F91)</f>
        <v>350.43791367839418</v>
      </c>
      <c r="E94" s="108">
        <f>SUM('Pago Cuota MC 2025'!F91)</f>
        <v>0</v>
      </c>
      <c r="F94" s="119">
        <f t="shared" si="4"/>
        <v>-350.43791367839418</v>
      </c>
      <c r="G94" s="118">
        <f>SUM('Feb 25'!L91)</f>
        <v>437.37240883651384</v>
      </c>
      <c r="H94" s="108">
        <f>SUM('Pago Cuota MC 2025'!G91)</f>
        <v>0</v>
      </c>
      <c r="I94" s="119">
        <f>SUM(-G94,H94)+Tabla3[[#This Row],[Saldo]]</f>
        <v>-787.81032251490797</v>
      </c>
      <c r="J94" s="118">
        <f>SUM('Mar 25'!L91)</f>
        <v>431.17456603598686</v>
      </c>
      <c r="K94" s="108">
        <f>SUM('Pago Cuota MC 2025'!H91)</f>
        <v>0</v>
      </c>
      <c r="L94" s="119">
        <f>SUM(-J94,K94)+Tabla3[[#This Row],[Saldo4]]</f>
        <v>-1218.9848885508948</v>
      </c>
      <c r="M94" s="122">
        <f>SUM('Abr 25'!L91)</f>
        <v>425.04820995427121</v>
      </c>
      <c r="N94" s="108">
        <f>SUM('Pago Cuota MC 2025'!I91)</f>
        <v>0</v>
      </c>
      <c r="O94" s="119">
        <f>SUM(-M94,N94)+Tabla3[[#This Row],[Saldo7]]</f>
        <v>-1644.033098505166</v>
      </c>
      <c r="P94" s="122">
        <f>SUM('May 25'!L91)</f>
        <v>427.38929412698411</v>
      </c>
      <c r="Q94" s="108">
        <f>SUM('Pago Cuota MC 2025'!J91)</f>
        <v>0</v>
      </c>
      <c r="R94" s="119">
        <f>SUM(-P94,Q94)+Tabla3[[#This Row],[Saldo13]]</f>
        <v>-2071.4223926321501</v>
      </c>
      <c r="S94" s="122">
        <f>SUM('Jun 25'!L91)</f>
        <v>430.38952013223957</v>
      </c>
      <c r="T94" s="108">
        <f>SUM('Pago Cuota MC 2025'!K91)</f>
        <v>2502.11</v>
      </c>
      <c r="U94" s="119">
        <f>SUM(-S94,T94)+Tabla3[[#This Row],[Saldo132]]</f>
        <v>0.29808723561018269</v>
      </c>
      <c r="V94" s="122">
        <f>SUM('Jul 25'!L91)</f>
        <v>421.66086465798759</v>
      </c>
      <c r="W94" s="108">
        <f>SUM('Pago Cuota MC 2025'!L91)</f>
        <v>0</v>
      </c>
      <c r="X94" s="119">
        <f>SUM(-V94,W94)+Tabla3[[#This Row],[Saldo16]]</f>
        <v>-421.36277742237741</v>
      </c>
      <c r="Y94" s="122">
        <f>SUM('Ago 25'!L91)</f>
        <v>425.09350640228246</v>
      </c>
      <c r="Z94" s="108">
        <f>SUM('Pago Cuota MC 2025'!M91)</f>
        <v>0</v>
      </c>
      <c r="AA94" s="119">
        <f>SUM(-Y94,Z94)+Tabla3[[#This Row],[Saldo19]]</f>
        <v>-846.45628382465986</v>
      </c>
      <c r="AB94" s="122">
        <f>SUM('Sep 25'!L91)</f>
        <v>427.9674796214511</v>
      </c>
      <c r="AC94" s="108">
        <f>SUM('Pago Cuota MC 2025'!N91)</f>
        <v>0</v>
      </c>
      <c r="AD94" s="119">
        <f>SUM(-AB94,AC94)+Tabla3[[#This Row],[Saldo22]]</f>
        <v>-1274.423763446111</v>
      </c>
      <c r="AE94" s="122">
        <f>SUM('Oct 25'!L91)</f>
        <v>423.93987109104285</v>
      </c>
      <c r="AF94" s="108">
        <f>SUM('Pago Cuota MC 2025'!O91)</f>
        <v>0</v>
      </c>
      <c r="AG94" s="145">
        <f>SUM(-AE94,AF94)+Tabla3[[#This Row],[Saldo25]]</f>
        <v>-1698.3636345371538</v>
      </c>
      <c r="AH94" s="122">
        <f>SUM('Nov 25'!L91)</f>
        <v>429.71215904681804</v>
      </c>
      <c r="AI94" s="108">
        <f>SUM('Pago Cuota MC 2025'!P91)</f>
        <v>2130</v>
      </c>
      <c r="AJ94" s="119">
        <f>SUM(-AH94,AI94)+Tabla3[[#This Row],[Saldo28]]</f>
        <v>1.9242064160282553</v>
      </c>
      <c r="AK94" s="122">
        <f>SUM('Dic 25'!L91)</f>
        <v>447.45159336758519</v>
      </c>
      <c r="AL94" s="108">
        <f>SUM('Pago Cuota MC 2025'!Q91)</f>
        <v>0</v>
      </c>
      <c r="AM94" s="145">
        <f>SUM(-AK94,AL94)+Tabla3[[#This Row],[Saldo31]]</f>
        <v>-445.52738695155693</v>
      </c>
      <c r="AN94" s="128">
        <f t="shared" si="5"/>
        <v>-445.52738695155693</v>
      </c>
      <c r="AO94" s="29"/>
      <c r="AP94" s="106">
        <f>SUM(Tabla3[[#This Row],[Saldo Anual]])</f>
        <v>-445.52738695155693</v>
      </c>
    </row>
    <row r="95" spans="1:43" ht="16.149999999999999" thickBot="1" x14ac:dyDescent="0.5">
      <c r="A95" s="313"/>
      <c r="B95" s="16" t="s">
        <v>7</v>
      </c>
      <c r="C95" s="116">
        <v>302</v>
      </c>
      <c r="D95" s="118">
        <f>SUM('Ene 25'!L92)-('Pago Cuota MC 2024'!F92)</f>
        <v>368.18544548272473</v>
      </c>
      <c r="E95" s="108">
        <f>SUM('Pago Cuota MC 2025'!F92)</f>
        <v>368.19</v>
      </c>
      <c r="F95" s="119">
        <f t="shared" si="4"/>
        <v>4.5545172752667895E-3</v>
      </c>
      <c r="G95" s="118">
        <f>SUM('Feb 25'!L92)</f>
        <v>455.44534546425518</v>
      </c>
      <c r="H95" s="108">
        <f>SUM('Pago Cuota MC 2025'!G92)</f>
        <v>455.44</v>
      </c>
      <c r="I95" s="119">
        <f>SUM(-G95,H95)+Tabla3[[#This Row],[Saldo]]</f>
        <v>-7.9094697991877183E-4</v>
      </c>
      <c r="J95" s="118">
        <f>SUM('Mar 25'!L92)</f>
        <v>440.21368277535436</v>
      </c>
      <c r="K95" s="108">
        <f>SUM('Pago Cuota MC 2025'!H92)</f>
        <v>440.21</v>
      </c>
      <c r="L95" s="119">
        <f>SUM(-J95,K95)+Tabla3[[#This Row],[Saldo4]]</f>
        <v>-4.4737223342963262E-3</v>
      </c>
      <c r="M95" s="122">
        <f>SUM('Abr 25'!L92)</f>
        <v>487.14451730978789</v>
      </c>
      <c r="N95" s="108">
        <f>SUM('Pago Cuota MC 2025'!I92)</f>
        <v>487.15</v>
      </c>
      <c r="O95" s="119">
        <f>SUM(-M95,N95)+Tabla3[[#This Row],[Saldo7]]</f>
        <v>1.0089678777944755E-3</v>
      </c>
      <c r="P95" s="122">
        <f>SUM('May 25'!L92)</f>
        <v>474.35510841269843</v>
      </c>
      <c r="Q95" s="108">
        <f>SUM('Pago Cuota MC 2025'!J92)</f>
        <v>0</v>
      </c>
      <c r="R95" s="119">
        <f>SUM(-P95,Q95)+Tabla3[[#This Row],[Saldo13]]</f>
        <v>-474.35409944482063</v>
      </c>
      <c r="S95" s="122">
        <f>SUM('Jun 25'!L92)</f>
        <v>480.14811063788778</v>
      </c>
      <c r="T95" s="108">
        <f>SUM('Pago Cuota MC 2025'!K92)</f>
        <v>954.5</v>
      </c>
      <c r="U95" s="119">
        <f>SUM(-S95,T95)+Tabla3[[#This Row],[Saldo132]]</f>
        <v>-2.2100827084159391E-3</v>
      </c>
      <c r="V95" s="122">
        <f>SUM('Jul 25'!L92)</f>
        <v>461.72810365770658</v>
      </c>
      <c r="W95" s="108">
        <f>SUM('Pago Cuota MC 2025'!L92)</f>
        <v>461.73</v>
      </c>
      <c r="X95" s="119">
        <f>SUM(-V95,W95)+Tabla3[[#This Row],[Saldo16]]</f>
        <v>-3.1374041498111183E-4</v>
      </c>
      <c r="Y95" s="122">
        <f>SUM('Ago 25'!L92)</f>
        <v>455.45609641654778</v>
      </c>
      <c r="Z95" s="108">
        <f>SUM('Pago Cuota MC 2025'!M92)</f>
        <v>455.46</v>
      </c>
      <c r="AA95" s="119">
        <f>SUM(-Y95,Z95)+Tabla3[[#This Row],[Saldo19]]</f>
        <v>3.589843037218543E-3</v>
      </c>
      <c r="AB95" s="122">
        <f>SUM('Sep 25'!L92)</f>
        <v>450.45640075709775</v>
      </c>
      <c r="AC95" s="108">
        <f>SUM('Pago Cuota MC 2025'!N92)</f>
        <v>450.45</v>
      </c>
      <c r="AD95" s="119">
        <f>SUM(-AB95,AC95)+Tabla3[[#This Row],[Saldo22]]</f>
        <v>-2.8109140605465655E-3</v>
      </c>
      <c r="AE95" s="122">
        <f>SUM('Oct 25'!L92)</f>
        <v>446.28336266238546</v>
      </c>
      <c r="AF95" s="108">
        <f>SUM('Pago Cuota MC 2025'!O92)</f>
        <v>446.29</v>
      </c>
      <c r="AG95" s="145">
        <f>SUM(-AE95,AF95)+Tabla3[[#This Row],[Saldo25]]</f>
        <v>3.8264235540168556E-3</v>
      </c>
      <c r="AH95" s="122">
        <f>SUM('Nov 25'!L92)</f>
        <v>442.25573524530415</v>
      </c>
      <c r="AI95" s="108">
        <f>SUM('Pago Cuota MC 2025'!P92)</f>
        <v>442.25</v>
      </c>
      <c r="AJ95" s="119">
        <f>SUM(-AH95,AI95)+Tabla3[[#This Row],[Saldo28]]</f>
        <v>-1.9088217501348481E-3</v>
      </c>
      <c r="AK95" s="122">
        <f>SUM('Dic 25'!L92)</f>
        <v>450.01029154286857</v>
      </c>
      <c r="AL95" s="108">
        <f>SUM('Pago Cuota MC 2025'!Q92)</f>
        <v>450.01</v>
      </c>
      <c r="AM95" s="145">
        <f>SUM(-AK95,AL95)+Tabla3[[#This Row],[Saldo31]]</f>
        <v>-2.2003646187158665E-3</v>
      </c>
      <c r="AN95" s="128">
        <f t="shared" si="5"/>
        <v>-2.2003646187158665E-3</v>
      </c>
      <c r="AO95" s="29"/>
      <c r="AP95" s="106" t="s">
        <v>12</v>
      </c>
    </row>
    <row r="96" spans="1:43" ht="16.149999999999999" thickBot="1" x14ac:dyDescent="0.5">
      <c r="A96" s="313"/>
      <c r="B96" s="16" t="s">
        <v>7</v>
      </c>
      <c r="C96" s="116">
        <v>303</v>
      </c>
      <c r="D96" s="118">
        <f>SUM('Ene 25'!L93)-('Pago Cuota MC 2024'!F93)</f>
        <v>247.86184141423308</v>
      </c>
      <c r="E96" s="108">
        <f>SUM('Pago Cuota MC 2025'!F93)</f>
        <v>500</v>
      </c>
      <c r="F96" s="119">
        <f t="shared" si="4"/>
        <v>252.13815858576692</v>
      </c>
      <c r="G96" s="118">
        <f>SUM('Feb 25'!L93)</f>
        <v>525.15752575477075</v>
      </c>
      <c r="H96" s="108">
        <f>SUM('Pago Cuota MC 2025'!G93)</f>
        <v>740</v>
      </c>
      <c r="I96" s="119">
        <f>SUM(-G96,H96)+Tabla3[[#This Row],[Saldo]]</f>
        <v>466.98063283099617</v>
      </c>
      <c r="J96" s="118">
        <f>SUM('Mar 25'!L93)</f>
        <v>518.9339169083969</v>
      </c>
      <c r="K96" s="108">
        <f>SUM('Pago Cuota MC 2025'!H93)</f>
        <v>160</v>
      </c>
      <c r="L96" s="119">
        <f>SUM(-J96,K96)+Tabla3[[#This Row],[Saldo4]]</f>
        <v>108.04671592259928</v>
      </c>
      <c r="M96" s="122">
        <f>SUM('Abr 25'!L93)</f>
        <v>622.35136444930913</v>
      </c>
      <c r="N96" s="108">
        <f>SUM('Pago Cuota MC 2025'!I93)</f>
        <v>300</v>
      </c>
      <c r="O96" s="119">
        <f>SUM(-M96,N96)+Tabla3[[#This Row],[Saldo7]]</f>
        <v>-214.30464852670985</v>
      </c>
      <c r="P96" s="122">
        <f>SUM('May 25'!L93)</f>
        <v>580.61258817460316</v>
      </c>
      <c r="Q96" s="108">
        <f>SUM('Pago Cuota MC 2025'!J93)</f>
        <v>300</v>
      </c>
      <c r="R96" s="119">
        <f>SUM(-P96,Q96)+Tabla3[[#This Row],[Saldo13]]</f>
        <v>-494.91723670131302</v>
      </c>
      <c r="S96" s="122">
        <f>SUM('Jun 25'!L93)</f>
        <v>495.58719216021166</v>
      </c>
      <c r="T96" s="108">
        <f>SUM('Pago Cuota MC 2025'!K93)</f>
        <v>1460</v>
      </c>
      <c r="U96" s="119">
        <f>SUM(-S96,T96)+Tabla3[[#This Row],[Saldo132]]</f>
        <v>469.49557113847533</v>
      </c>
      <c r="V96" s="122">
        <f>SUM('Jul 25'!L93)</f>
        <v>511.91294535481256</v>
      </c>
      <c r="W96" s="108">
        <f>SUM('Pago Cuota MC 2025'!L93)</f>
        <v>0</v>
      </c>
      <c r="X96" s="119">
        <f>SUM(-V96,W96)+Tabla3[[#This Row],[Saldo16]]</f>
        <v>-42.417374216337237</v>
      </c>
      <c r="Y96" s="122">
        <f>SUM('Ago 25'!L93)</f>
        <v>500.11989042510703</v>
      </c>
      <c r="Z96" s="108">
        <f>SUM('Pago Cuota MC 2025'!M93)</f>
        <v>0</v>
      </c>
      <c r="AA96" s="119">
        <f>SUM(-Y96,Z96)+Tabla3[[#This Row],[Saldo19]]</f>
        <v>-542.53726464144427</v>
      </c>
      <c r="AB96" s="122">
        <f>SUM('Sep 25'!L93)</f>
        <v>486.06303041009465</v>
      </c>
      <c r="AC96" s="108">
        <f>SUM('Pago Cuota MC 2025'!N93)</f>
        <v>0</v>
      </c>
      <c r="AD96" s="119">
        <f>SUM(-AB96,AC96)+Tabla3[[#This Row],[Saldo22]]</f>
        <v>-1028.600295051539</v>
      </c>
      <c r="AE96" s="122">
        <f>SUM('Oct 25'!L93)</f>
        <v>481.77536982674428</v>
      </c>
      <c r="AF96" s="108">
        <f>SUM('Pago Cuota MC 2025'!O93)</f>
        <v>0</v>
      </c>
      <c r="AG96" s="145">
        <f>SUM(-AE96,AF96)+Tabla3[[#This Row],[Saldo25]]</f>
        <v>-1510.3756648782833</v>
      </c>
      <c r="AH96" s="122">
        <f>SUM('Nov 25'!L93)</f>
        <v>490.39602052705357</v>
      </c>
      <c r="AI96" s="108">
        <f>SUM('Pago Cuota MC 2025'!P93)</f>
        <v>0</v>
      </c>
      <c r="AJ96" s="119">
        <f>SUM(-AH96,AI96)+Tabla3[[#This Row],[Saldo28]]</f>
        <v>-2000.7716854053369</v>
      </c>
      <c r="AK96" s="122">
        <f>SUM('Dic 25'!L93)</f>
        <v>464.14115449559188</v>
      </c>
      <c r="AL96" s="108">
        <f>SUM('Pago Cuota MC 2025'!Q93)</f>
        <v>0</v>
      </c>
      <c r="AM96" s="145">
        <f>SUM(-AK96,AL96)+Tabla3[[#This Row],[Saldo31]]</f>
        <v>-2464.9128399009287</v>
      </c>
      <c r="AN96" s="128">
        <f t="shared" si="5"/>
        <v>-2464.9128399009287</v>
      </c>
      <c r="AO96" s="29"/>
      <c r="AP96" s="106">
        <f>SUM(Tabla3[[#This Row],[Saldo Anual]])</f>
        <v>-2464.9128399009287</v>
      </c>
    </row>
    <row r="97" spans="1:43" ht="16.149999999999999" thickBot="1" x14ac:dyDescent="0.5">
      <c r="A97" s="313"/>
      <c r="B97" s="16" t="s">
        <v>7</v>
      </c>
      <c r="C97" s="116">
        <v>304</v>
      </c>
      <c r="D97" s="118">
        <f>SUM('Ene 25'!L94)-('Pago Cuota MC 2024'!F94)</f>
        <v>327.11215960778389</v>
      </c>
      <c r="E97" s="108">
        <f>SUM('Pago Cuota MC 2025'!F94)</f>
        <v>327.11</v>
      </c>
      <c r="F97" s="119">
        <f t="shared" si="4"/>
        <v>-2.1596077838808014E-3</v>
      </c>
      <c r="G97" s="118">
        <f>SUM('Feb 25'!L94)</f>
        <v>367.79709339931645</v>
      </c>
      <c r="H97" s="108">
        <f>SUM('Pago Cuota MC 2025'!G94)</f>
        <v>367.8</v>
      </c>
      <c r="I97" s="119">
        <f>SUM(-G97,H97)+Tabla3[[#This Row],[Saldo]]</f>
        <v>7.4699289967838922E-4</v>
      </c>
      <c r="J97" s="118">
        <f>SUM('Mar 25'!L94)</f>
        <v>372.30002416030527</v>
      </c>
      <c r="K97" s="108">
        <f>SUM('Pago Cuota MC 2025'!H94)</f>
        <v>372.3</v>
      </c>
      <c r="L97" s="119">
        <f>SUM(-J97,K97)+Tabla3[[#This Row],[Saldo4]]</f>
        <v>7.2283259441974224E-4</v>
      </c>
      <c r="M97" s="122">
        <f>SUM('Abr 25'!L94)</f>
        <v>366.08534267464483</v>
      </c>
      <c r="N97" s="108">
        <f>SUM('Pago Cuota MC 2025'!I94)</f>
        <v>366.08</v>
      </c>
      <c r="O97" s="119">
        <f>SUM(-M97,N97)+Tabla3[[#This Row],[Saldo7]]</f>
        <v>-4.6198420504310889E-3</v>
      </c>
      <c r="P97" s="122">
        <f>SUM('May 25'!L94)</f>
        <v>355.50427150793649</v>
      </c>
      <c r="Q97" s="108">
        <f>SUM('Pago Cuota MC 2025'!J94)</f>
        <v>355.51</v>
      </c>
      <c r="R97" s="119">
        <f>SUM(-P97,Q97)+Tabla3[[#This Row],[Saldo13]]</f>
        <v>1.108650013065926E-3</v>
      </c>
      <c r="S97" s="122">
        <f>SUM('Jun 25'!L94)</f>
        <v>373.13725181594049</v>
      </c>
      <c r="T97" s="108">
        <f>SUM('Pago Cuota MC 2025'!K94)</f>
        <v>373.14</v>
      </c>
      <c r="U97" s="119">
        <f>SUM(-S97,T97)+Tabla3[[#This Row],[Saldo132]]</f>
        <v>3.8568340725646522E-3</v>
      </c>
      <c r="V97" s="122">
        <f>SUM('Jul 25'!L94)</f>
        <v>369.76671439105866</v>
      </c>
      <c r="W97" s="108">
        <f>SUM('Pago Cuota MC 2025'!L94)</f>
        <v>369.79</v>
      </c>
      <c r="X97" s="119">
        <f>SUM(-V97,W97)+Tabla3[[#This Row],[Saldo16]]</f>
        <v>2.7142443013929096E-2</v>
      </c>
      <c r="Y97" s="122">
        <f>SUM('Ago 25'!L94)</f>
        <v>357.15794440513554</v>
      </c>
      <c r="Z97" s="108">
        <f>SUM('Pago Cuota MC 2025'!M94)</f>
        <v>357.13</v>
      </c>
      <c r="AA97" s="119">
        <f>SUM(-Y97,Z97)+Tabla3[[#This Row],[Saldo19]]</f>
        <v>-8.0196212161354197E-4</v>
      </c>
      <c r="AB97" s="122">
        <f>SUM('Sep 25'!L94)</f>
        <v>362.07799066246054</v>
      </c>
      <c r="AC97" s="108">
        <f>SUM('Pago Cuota MC 2025'!N94)</f>
        <v>362.08</v>
      </c>
      <c r="AD97" s="119">
        <f>SUM(-AB97,AC97)+Tabla3[[#This Row],[Saldo22]]</f>
        <v>1.2073754178345553E-3</v>
      </c>
      <c r="AE97" s="122">
        <f>SUM('Oct 25'!L94)</f>
        <v>358.30055923071774</v>
      </c>
      <c r="AF97" s="108">
        <f>SUM('Pago Cuota MC 2025'!O94)</f>
        <v>358.3</v>
      </c>
      <c r="AG97" s="145">
        <f>SUM(-AE97,AF97)+Tabla3[[#This Row],[Saldo25]]</f>
        <v>6.4814470010787772E-4</v>
      </c>
      <c r="AH97" s="122">
        <f>SUM('Nov 25'!L94)</f>
        <v>364.84381775161199</v>
      </c>
      <c r="AI97" s="108">
        <f>SUM('Pago Cuota MC 2025'!P94)</f>
        <v>364.84</v>
      </c>
      <c r="AJ97" s="119">
        <f>SUM(-AH97,AI97)+Tabla3[[#This Row],[Saldo28]]</f>
        <v>-3.1696069119107051E-3</v>
      </c>
      <c r="AK97" s="122">
        <f>SUM('Dic 25'!L94)</f>
        <v>369.57048070515776</v>
      </c>
      <c r="AL97" s="108">
        <f>SUM('Pago Cuota MC 2025'!Q94)</f>
        <v>369.57</v>
      </c>
      <c r="AM97" s="145">
        <f>SUM(-AK97,AL97)+Tabla3[[#This Row],[Saldo31]]</f>
        <v>-3.6503120696806945E-3</v>
      </c>
      <c r="AN97" s="128">
        <f t="shared" si="5"/>
        <v>-3.6503120696806945E-3</v>
      </c>
      <c r="AO97" s="29"/>
      <c r="AP97" s="106" t="s">
        <v>12</v>
      </c>
    </row>
    <row r="98" spans="1:43" ht="16.149999999999999" thickBot="1" x14ac:dyDescent="0.5">
      <c r="A98" s="313"/>
      <c r="B98" s="16" t="s">
        <v>7</v>
      </c>
      <c r="C98" s="116">
        <v>401</v>
      </c>
      <c r="D98" s="118">
        <f>SUM('Ene 25'!L95)-('Pago Cuota MC 2024'!F95)</f>
        <v>340.76515394100016</v>
      </c>
      <c r="E98" s="108">
        <f>SUM('Pago Cuota MC 2025'!F95)</f>
        <v>340.77</v>
      </c>
      <c r="F98" s="119">
        <f t="shared" si="4"/>
        <v>4.8460589998171599E-3</v>
      </c>
      <c r="G98" s="118">
        <f>SUM('Feb 25'!L95)</f>
        <v>377.65918368698379</v>
      </c>
      <c r="H98" s="108">
        <f>SUM('Pago Cuota MC 2025'!G95)</f>
        <v>377.65</v>
      </c>
      <c r="I98" s="119">
        <f>SUM(-G98,H98)+Tabla3[[#This Row],[Saldo]]</f>
        <v>-4.3376279840003917E-3</v>
      </c>
      <c r="J98" s="118">
        <f>SUM('Mar 25'!L95)</f>
        <v>359.96138599236633</v>
      </c>
      <c r="K98" s="108">
        <f>SUM('Pago Cuota MC 2025'!H95)</f>
        <v>359.97</v>
      </c>
      <c r="L98" s="119">
        <f>SUM(-J98,K98)+Tabla3[[#This Row],[Saldo4]]</f>
        <v>4.2763796496956274E-3</v>
      </c>
      <c r="M98" s="122">
        <f>SUM('Abr 25'!L95)</f>
        <v>401.46661567522864</v>
      </c>
      <c r="N98" s="108">
        <f>SUM('Pago Cuota MC 2025'!I95)</f>
        <v>401.46</v>
      </c>
      <c r="O98" s="119">
        <f>SUM(-M98,N98)+Tabla3[[#This Row],[Saldo7]]</f>
        <v>-2.3392955789631742E-3</v>
      </c>
      <c r="P98" s="122">
        <f>SUM('May 25'!L95)</f>
        <v>401.42887031746034</v>
      </c>
      <c r="Q98" s="108">
        <f>SUM('Pago Cuota MC 2025'!J95)</f>
        <v>401.43</v>
      </c>
      <c r="R98" s="119">
        <f>SUM(-P98,Q98)+Tabla3[[#This Row],[Saldo13]]</f>
        <v>-1.2096130392933446E-3</v>
      </c>
      <c r="S98" s="122">
        <f>SUM('Jun 25'!L95)</f>
        <v>426.71596819571454</v>
      </c>
      <c r="T98" s="108">
        <f>SUM('Pago Cuota MC 2025'!K95)</f>
        <v>426.72</v>
      </c>
      <c r="U98" s="119">
        <f>SUM(-S98,T98)+Tabla3[[#This Row],[Saldo132]]</f>
        <v>2.8221912461958709E-3</v>
      </c>
      <c r="V98" s="122">
        <f>SUM('Jul 25'!L95)</f>
        <v>408.301198234835</v>
      </c>
      <c r="W98" s="108">
        <f>SUM('Pago Cuota MC 2025'!L95)</f>
        <v>408.3</v>
      </c>
      <c r="X98" s="119">
        <f>SUM(-V98,W98)+Tabla3[[#This Row],[Saldo16]]</f>
        <v>1.6239564112083826E-3</v>
      </c>
      <c r="Y98" s="122">
        <f>SUM('Ago 25'!L95)</f>
        <v>404.62759576034239</v>
      </c>
      <c r="Z98" s="108">
        <f>SUM('Pago Cuota MC 2025'!M95)</f>
        <v>404.63</v>
      </c>
      <c r="AA98" s="119">
        <f>SUM(-Y98,Z98)+Tabla3[[#This Row],[Saldo19]]</f>
        <v>4.0281960688162144E-3</v>
      </c>
      <c r="AB98" s="122">
        <f>SUM('Sep 25'!L95)</f>
        <v>402.92508971608834</v>
      </c>
      <c r="AC98" s="108">
        <f>SUM('Pago Cuota MC 2025'!N95)</f>
        <v>402.92</v>
      </c>
      <c r="AD98" s="119">
        <f>SUM(-AB98,AC98)+Tabla3[[#This Row],[Saldo22]]</f>
        <v>-1.0615200195047692E-3</v>
      </c>
      <c r="AE98" s="122">
        <f>SUM('Oct 25'!L95)</f>
        <v>398.96481516088033</v>
      </c>
      <c r="AF98" s="108">
        <f>SUM('Pago Cuota MC 2025'!O95)</f>
        <v>398.97</v>
      </c>
      <c r="AG98" s="145">
        <f>SUM(-AE98,AF98)+Tabla3[[#This Row],[Saldo25]]</f>
        <v>4.1233191001879277E-3</v>
      </c>
      <c r="AH98" s="122">
        <f>SUM('Nov 25'!L95)</f>
        <v>403.77803070367258</v>
      </c>
      <c r="AI98" s="108">
        <f>SUM('Pago Cuota MC 2025'!P95)</f>
        <v>0</v>
      </c>
      <c r="AJ98" s="119">
        <f>SUM(-AH98,AI98)+Tabla3[[#This Row],[Saldo28]]</f>
        <v>-403.7739073845724</v>
      </c>
      <c r="AK98" s="122">
        <f>SUM('Dic 25'!L95)</f>
        <v>406.18226795978865</v>
      </c>
      <c r="AL98" s="108">
        <f>SUM('Pago Cuota MC 2025'!Q95)</f>
        <v>809.96</v>
      </c>
      <c r="AM98" s="145">
        <f>SUM(-AK98,AL98)+Tabla3[[#This Row],[Saldo31]]</f>
        <v>3.8246556389935904E-3</v>
      </c>
      <c r="AN98" s="128">
        <f t="shared" si="5"/>
        <v>3.8246556389935904E-3</v>
      </c>
      <c r="AO98" s="29"/>
      <c r="AP98" s="106" t="s">
        <v>12</v>
      </c>
    </row>
    <row r="99" spans="1:43" ht="16.149999999999999" thickBot="1" x14ac:dyDescent="0.5">
      <c r="A99" s="313"/>
      <c r="B99" s="16" t="s">
        <v>7</v>
      </c>
      <c r="C99" s="116">
        <v>402</v>
      </c>
      <c r="D99" s="118">
        <f>SUM('Ene 25'!L96)-('Pago Cuota MC 2024'!F96)</f>
        <v>334.0244133922489</v>
      </c>
      <c r="E99" s="108">
        <f>SUM('Pago Cuota MC 2025'!F96)</f>
        <v>334.02</v>
      </c>
      <c r="F99" s="119">
        <f t="shared" si="4"/>
        <v>-4.4133922489208999E-3</v>
      </c>
      <c r="G99" s="118">
        <f>SUM('Feb 25'!L96)</f>
        <v>382.01930687126179</v>
      </c>
      <c r="H99" s="108">
        <f>SUM('Pago Cuota MC 2025'!G96)</f>
        <v>382.02</v>
      </c>
      <c r="I99" s="119">
        <f>SUM(-G99,H99)+Tabla3[[#This Row],[Saldo]]</f>
        <v>-3.7202635107291826E-3</v>
      </c>
      <c r="J99" s="118">
        <f>SUM('Mar 25'!L96)</f>
        <v>388.68727797709914</v>
      </c>
      <c r="K99" s="108">
        <f>SUM('Pago Cuota MC 2025'!H96)</f>
        <v>388.69</v>
      </c>
      <c r="L99" s="119">
        <f>SUM(-J99,K99)+Tabla3[[#This Row],[Saldo4]]</f>
        <v>-9.982406098743013E-4</v>
      </c>
      <c r="M99" s="122">
        <f>SUM('Abr 25'!L96)</f>
        <v>376.42199317085033</v>
      </c>
      <c r="N99" s="108">
        <f>SUM('Pago Cuota MC 2025'!I96)</f>
        <v>376.42</v>
      </c>
      <c r="O99" s="119">
        <f>SUM(-M99,N99)+Tabla3[[#This Row],[Saldo7]]</f>
        <v>-2.9914114601865549E-3</v>
      </c>
      <c r="P99" s="122">
        <f>SUM('May 25'!L96)</f>
        <v>396.44091317460317</v>
      </c>
      <c r="Q99" s="108">
        <f>SUM('Pago Cuota MC 2025'!J96)</f>
        <v>396.44</v>
      </c>
      <c r="R99" s="119">
        <f>SUM(-P99,Q99)+Tabla3[[#This Row],[Saldo13]]</f>
        <v>-3.9045860633564189E-3</v>
      </c>
      <c r="S99" s="122">
        <f>SUM('Jun 25'!L96)</f>
        <v>382.04657034740899</v>
      </c>
      <c r="T99" s="108">
        <f>SUM('Pago Cuota MC 2025'!K96)</f>
        <v>382.05</v>
      </c>
      <c r="U99" s="119">
        <f>SUM(-S99,T99)+Tabla3[[#This Row],[Saldo132]]</f>
        <v>-4.7493347233285022E-4</v>
      </c>
      <c r="V99" s="122">
        <f>SUM('Jul 25'!L96)</f>
        <v>379.10828865349197</v>
      </c>
      <c r="W99" s="108">
        <f>SUM('Pago Cuota MC 2025'!L96)</f>
        <v>0</v>
      </c>
      <c r="X99" s="119">
        <f>SUM(-V99,W99)+Tabla3[[#This Row],[Saldo16]]</f>
        <v>-379.1087635869643</v>
      </c>
      <c r="Y99" s="122">
        <f>SUM('Ago 25'!L96)</f>
        <v>375.41851045363768</v>
      </c>
      <c r="Z99" s="108">
        <f>SUM('Pago Cuota MC 2025'!M96)</f>
        <v>754.53</v>
      </c>
      <c r="AA99" s="119">
        <f>SUM(-Y99,Z99)+Tabla3[[#This Row],[Saldo19]]</f>
        <v>2.7259593979920282E-3</v>
      </c>
      <c r="AB99" s="122">
        <f>SUM('Sep 25'!L96)</f>
        <v>382.53066952681388</v>
      </c>
      <c r="AC99" s="108">
        <f>SUM('Pago Cuota MC 2025'!N96)</f>
        <v>0</v>
      </c>
      <c r="AD99" s="119">
        <f>SUM(-AB99,AC99)+Tabla3[[#This Row],[Saldo22]]</f>
        <v>-382.52794356741589</v>
      </c>
      <c r="AE99" s="122">
        <f>SUM('Oct 25'!L96)</f>
        <v>378.66168614221687</v>
      </c>
      <c r="AF99" s="108">
        <f>SUM('Pago Cuota MC 2025'!O96)</f>
        <v>761.79</v>
      </c>
      <c r="AG99" s="145">
        <f>SUM(-AE99,AF99)+Tabla3[[#This Row],[Saldo25]]</f>
        <v>0.60037029036720924</v>
      </c>
      <c r="AH99" s="122">
        <f>SUM('Nov 25'!L96)</f>
        <v>415.77427780207455</v>
      </c>
      <c r="AI99" s="108">
        <f>SUM('Pago Cuota MC 2025'!P96)</f>
        <v>0</v>
      </c>
      <c r="AJ99" s="119">
        <f>SUM(-AH99,AI99)+Tabla3[[#This Row],[Saldo28]]</f>
        <v>-415.17390751170734</v>
      </c>
      <c r="AK99" s="122">
        <f>SUM('Dic 25'!L96)</f>
        <v>430.68838642813262</v>
      </c>
      <c r="AL99" s="108">
        <f>SUM('Pago Cuota MC 2025'!Q96)</f>
        <v>845.86</v>
      </c>
      <c r="AM99" s="145">
        <f>SUM(-AK99,AL99)+Tabla3[[#This Row],[Saldo31]]</f>
        <v>-2.2939398399444144E-3</v>
      </c>
      <c r="AN99" s="128">
        <f t="shared" si="5"/>
        <v>-2.2939398399444144E-3</v>
      </c>
      <c r="AO99" s="29"/>
      <c r="AP99" s="106" t="s">
        <v>12</v>
      </c>
    </row>
    <row r="100" spans="1:43" ht="16.149999999999999" thickBot="1" x14ac:dyDescent="0.5">
      <c r="A100" s="313"/>
      <c r="B100" s="16" t="s">
        <v>7</v>
      </c>
      <c r="C100" s="116">
        <v>403</v>
      </c>
      <c r="D100" s="118">
        <f>SUM('Ene 25'!L97)-('Pago Cuota MC 2024'!F97)</f>
        <v>324.52135121701571</v>
      </c>
      <c r="E100" s="108">
        <f>SUM('Pago Cuota MC 2025'!F97)</f>
        <v>324.52</v>
      </c>
      <c r="F100" s="119">
        <f t="shared" si="4"/>
        <v>-1.3512170157241599E-3</v>
      </c>
      <c r="G100" s="118">
        <f>SUM('Feb 25'!L97)</f>
        <v>359.54218753204219</v>
      </c>
      <c r="H100" s="108">
        <f>SUM('Pago Cuota MC 2025'!G97)</f>
        <v>359.54</v>
      </c>
      <c r="I100" s="119">
        <f>SUM(-G100,H100)+Tabla3[[#This Row],[Saldo]]</f>
        <v>-3.5387490578955294E-3</v>
      </c>
      <c r="J100" s="118">
        <f>SUM('Mar 25'!L97)</f>
        <v>347.67389651581237</v>
      </c>
      <c r="K100" s="108">
        <f>SUM('Pago Cuota MC 2025'!H97)</f>
        <v>347.68</v>
      </c>
      <c r="L100" s="119">
        <f>SUM(-J100,K100)+Tabla3[[#This Row],[Saldo4]]</f>
        <v>2.5647351297379828E-3</v>
      </c>
      <c r="M100" s="122">
        <f>SUM('Abr 25'!L97)</f>
        <v>370.97309007686317</v>
      </c>
      <c r="N100" s="108">
        <f>SUM('Pago Cuota MC 2025'!I97)</f>
        <v>370.97</v>
      </c>
      <c r="O100" s="119">
        <f>SUM(-M100,N100)+Tabla3[[#This Row],[Saldo7]]</f>
        <v>-5.2534173340745838E-4</v>
      </c>
      <c r="P100" s="122">
        <f>SUM('May 25'!L97)</f>
        <v>381.74866317460317</v>
      </c>
      <c r="Q100" s="108">
        <f>SUM('Pago Cuota MC 2025'!J97)</f>
        <v>381.75</v>
      </c>
      <c r="R100" s="119">
        <f>SUM(-P100,Q100)+Tabla3[[#This Row],[Saldo13]]</f>
        <v>8.1148366342631562E-4</v>
      </c>
      <c r="S100" s="122">
        <f>SUM('Jun 25'!L97)</f>
        <v>373.03029245606956</v>
      </c>
      <c r="T100" s="108">
        <f>SUM('Pago Cuota MC 2025'!K97)</f>
        <v>373.03</v>
      </c>
      <c r="U100" s="119">
        <f>SUM(-S100,T100)+Tabla3[[#This Row],[Saldo132]]</f>
        <v>5.1902759383892771E-4</v>
      </c>
      <c r="V100" s="122">
        <f>SUM('Jul 25'!L97)</f>
        <v>362.71447263775718</v>
      </c>
      <c r="W100" s="108">
        <f>SUM('Pago Cuota MC 2025'!L97)</f>
        <v>362.71</v>
      </c>
      <c r="X100" s="119">
        <f>SUM(-V100,W100)+Tabla3[[#This Row],[Saldo16]]</f>
        <v>-3.9536101633643739E-3</v>
      </c>
      <c r="Y100" s="122">
        <f>SUM('Ago 25'!L97)</f>
        <v>355.95360728673325</v>
      </c>
      <c r="Z100" s="108">
        <f>SUM('Pago Cuota MC 2025'!M97)</f>
        <v>355.96</v>
      </c>
      <c r="AA100" s="119">
        <f>SUM(-Y100,Z100)+Tabla3[[#This Row],[Saldo19]]</f>
        <v>2.4391031033701438E-3</v>
      </c>
      <c r="AB100" s="122">
        <f>SUM('Sep 25'!L97)</f>
        <v>361.20022662460565</v>
      </c>
      <c r="AC100" s="108">
        <f>SUM('Pago Cuota MC 2025'!N97)</f>
        <v>361.2</v>
      </c>
      <c r="AD100" s="119">
        <f>SUM(-AB100,AC100)+Tabla3[[#This Row],[Saldo22]]</f>
        <v>2.2124784977108902E-3</v>
      </c>
      <c r="AE100" s="122">
        <f>SUM('Oct 25'!L97)</f>
        <v>357.42672431199412</v>
      </c>
      <c r="AF100" s="108">
        <f>SUM('Pago Cuota MC 2025'!O97)</f>
        <v>357.42</v>
      </c>
      <c r="AG100" s="145">
        <f>SUM(-AE100,AF100)+Tabla3[[#This Row],[Saldo25]]</f>
        <v>-4.5118334963945017E-3</v>
      </c>
      <c r="AH100" s="122">
        <f>SUM('Nov 25'!L97)</f>
        <v>367.74165374824781</v>
      </c>
      <c r="AI100" s="108">
        <f>SUM('Pago Cuota MC 2025'!P97)</f>
        <v>367.75</v>
      </c>
      <c r="AJ100" s="119">
        <f>SUM(-AH100,AI100)+Tabla3[[#This Row],[Saldo28]]</f>
        <v>3.8344182557921158E-3</v>
      </c>
      <c r="AK100" s="122">
        <f>SUM('Dic 25'!L97)</f>
        <v>366.47724650554483</v>
      </c>
      <c r="AL100" s="108">
        <f>SUM('Pago Cuota MC 2025'!Q97)</f>
        <v>366.47</v>
      </c>
      <c r="AM100" s="145">
        <f>SUM(-AK100,AL100)+Tabla3[[#This Row],[Saldo31]]</f>
        <v>-3.4120872890071041E-3</v>
      </c>
      <c r="AN100" s="128">
        <f t="shared" si="5"/>
        <v>-3.4120872890071041E-3</v>
      </c>
      <c r="AO100" s="29"/>
      <c r="AP100" s="106" t="s">
        <v>12</v>
      </c>
    </row>
    <row r="101" spans="1:43" ht="16.149999999999999" thickBot="1" x14ac:dyDescent="0.5">
      <c r="A101" s="313"/>
      <c r="B101" s="16" t="s">
        <v>7</v>
      </c>
      <c r="C101" s="116">
        <v>404</v>
      </c>
      <c r="D101" s="118">
        <f>SUM('Ene 25'!L98)-('Pago Cuota MC 2024'!F98)</f>
        <v>325.34319299894292</v>
      </c>
      <c r="E101" s="108">
        <f>SUM('Pago Cuota MC 2025'!F98)</f>
        <v>325.33999999999997</v>
      </c>
      <c r="F101" s="119">
        <f t="shared" si="4"/>
        <v>-3.1929989429499983E-3</v>
      </c>
      <c r="G101" s="118">
        <f>SUM('Feb 25'!L98)</f>
        <v>387.02073965394482</v>
      </c>
      <c r="H101" s="108">
        <f>SUM('Pago Cuota MC 2025'!G98)</f>
        <v>387.02</v>
      </c>
      <c r="I101" s="119">
        <f>SUM(-G101,H101)+Tabla3[[#This Row],[Saldo]]</f>
        <v>-3.9326528877836608E-3</v>
      </c>
      <c r="J101" s="118">
        <f>SUM('Mar 25'!L98)</f>
        <v>387.12527563249722</v>
      </c>
      <c r="K101" s="108">
        <f>SUM('Pago Cuota MC 2025'!H98)</f>
        <v>387.68</v>
      </c>
      <c r="L101" s="119">
        <f>SUM(-J101,K101)+Tabla3[[#This Row],[Saldo4]]</f>
        <v>0.55079171461500209</v>
      </c>
      <c r="M101" s="122">
        <f>SUM('Abr 25'!L98)</f>
        <v>396.66019518486087</v>
      </c>
      <c r="N101" s="108">
        <f>SUM('Pago Cuota MC 2025'!I98)</f>
        <v>396.11</v>
      </c>
      <c r="O101" s="119">
        <f>SUM(-M101,N101)+Tabla3[[#This Row],[Saldo7]]</f>
        <v>5.9652975414792309E-4</v>
      </c>
      <c r="P101" s="122">
        <f>SUM('May 25'!L98)</f>
        <v>410.84919531746033</v>
      </c>
      <c r="Q101" s="108">
        <f>SUM('Pago Cuota MC 2025'!J98)</f>
        <v>410.85</v>
      </c>
      <c r="R101" s="119">
        <f>SUM(-P101,Q101)+Tabla3[[#This Row],[Saldo13]]</f>
        <v>1.4012122938424909E-3</v>
      </c>
      <c r="S101" s="122">
        <f>SUM('Jun 25'!L98)</f>
        <v>394.94507685628474</v>
      </c>
      <c r="T101" s="108">
        <f>SUM('Pago Cuota MC 2025'!K98)</f>
        <v>394.94</v>
      </c>
      <c r="U101" s="119">
        <f>SUM(-S101,T101)+Tabla3[[#This Row],[Saldo132]]</f>
        <v>-3.6756439909026994E-3</v>
      </c>
      <c r="V101" s="122">
        <f>SUM('Jul 25'!L98)</f>
        <v>394.40055940370269</v>
      </c>
      <c r="W101" s="108">
        <f>SUM('Pago Cuota MC 2025'!L98)</f>
        <v>394.4</v>
      </c>
      <c r="X101" s="119">
        <f>SUM(-V101,W101)+Tabla3[[#This Row],[Saldo16]]</f>
        <v>-4.2350476936121595E-3</v>
      </c>
      <c r="Y101" s="122">
        <f>SUM('Ago 25'!L98)</f>
        <v>395.69282200855923</v>
      </c>
      <c r="Z101" s="108">
        <f>SUM('Pago Cuota MC 2025'!M98)</f>
        <v>395.7</v>
      </c>
      <c r="AA101" s="119">
        <f>SUM(-Y101,Z101)+Tabla3[[#This Row],[Saldo19]]</f>
        <v>2.9429437471435449E-3</v>
      </c>
      <c r="AB101" s="122">
        <f>SUM('Sep 25'!L98)</f>
        <v>392.13558309148266</v>
      </c>
      <c r="AC101" s="108">
        <f>SUM('Pago Cuota MC 2025'!N98)</f>
        <v>392.13</v>
      </c>
      <c r="AD101" s="119">
        <f>SUM(-AB101,AC101)+Tabla3[[#This Row],[Saldo22]]</f>
        <v>-2.6401477355193492E-3</v>
      </c>
      <c r="AE101" s="122">
        <f>SUM('Oct 25'!L98)</f>
        <v>388.22360540771956</v>
      </c>
      <c r="AF101" s="108">
        <f>SUM('Pago Cuota MC 2025'!O98)</f>
        <v>388.23</v>
      </c>
      <c r="AG101" s="145">
        <f>SUM(-AE101,AF101)+Tabla3[[#This Row],[Saldo25]]</f>
        <v>3.7544445449384511E-3</v>
      </c>
      <c r="AH101" s="122">
        <f>SUM('Nov 25'!L98)</f>
        <v>377.78880841603586</v>
      </c>
      <c r="AI101" s="108">
        <f>SUM('Pago Cuota MC 2025'!P98)</f>
        <v>377.79</v>
      </c>
      <c r="AJ101" s="119">
        <f>SUM(-AH101,AI101)+Tabla3[[#This Row],[Saldo28]]</f>
        <v>4.9460285090958678E-3</v>
      </c>
      <c r="AK101" s="122">
        <f>SUM('Dic 25'!L98)</f>
        <v>375.34818626224933</v>
      </c>
      <c r="AL101" s="108">
        <f>SUM('Pago Cuota MC 2025'!Q98)</f>
        <v>375.34</v>
      </c>
      <c r="AM101" s="145">
        <f>SUM(-AK101,AL101)+Tabla3[[#This Row],[Saldo31]]</f>
        <v>-3.2402337402572812E-3</v>
      </c>
      <c r="AN101" s="128">
        <f t="shared" si="5"/>
        <v>-3.2402337402572812E-3</v>
      </c>
      <c r="AO101" s="29"/>
      <c r="AP101" s="106" t="s">
        <v>12</v>
      </c>
    </row>
    <row r="102" spans="1:43" ht="16.149999999999999" thickBot="1" x14ac:dyDescent="0.5">
      <c r="A102" s="313"/>
      <c r="B102" s="16" t="s">
        <v>7</v>
      </c>
      <c r="C102" s="116">
        <v>501</v>
      </c>
      <c r="D102" s="118">
        <f>SUM('Ene 25'!L99)-('Pago Cuota MC 2024'!F99)</f>
        <v>332.58751490259527</v>
      </c>
      <c r="E102" s="108">
        <f>SUM('Pago Cuota MC 2025'!F99)</f>
        <v>332.59</v>
      </c>
      <c r="F102" s="119">
        <f t="shared" ref="F102:F133" si="6">SUM(-D102,E102)</f>
        <v>2.4850974047012642E-3</v>
      </c>
      <c r="G102" s="118">
        <f>SUM('Feb 25'!L99)</f>
        <v>379.05911561520941</v>
      </c>
      <c r="H102" s="108">
        <f>SUM('Pago Cuota MC 2025'!G99)</f>
        <v>379.06</v>
      </c>
      <c r="I102" s="119">
        <f>SUM(-G102,H102)+Tabla3[[#This Row],[Saldo]]</f>
        <v>3.3694821952963139E-3</v>
      </c>
      <c r="J102" s="118">
        <f>SUM('Mar 25'!L99)</f>
        <v>376.06535474918206</v>
      </c>
      <c r="K102" s="108">
        <f>SUM('Pago Cuota MC 2025'!H99)</f>
        <v>376.06</v>
      </c>
      <c r="L102" s="119">
        <f>SUM(-J102,K102)+Tabla3[[#This Row],[Saldo4]]</f>
        <v>-1.9852669867646E-3</v>
      </c>
      <c r="M102" s="122">
        <f>SUM('Abr 25'!L99)</f>
        <v>368.87078940552635</v>
      </c>
      <c r="N102" s="108">
        <f>SUM('Pago Cuota MC 2025'!I99)</f>
        <v>368.87</v>
      </c>
      <c r="O102" s="119">
        <f>SUM(-M102,N102)+Tabla3[[#This Row],[Saldo7]]</f>
        <v>-2.774672513112364E-3</v>
      </c>
      <c r="P102" s="122">
        <f>SUM('May 25'!L99)</f>
        <v>388.31696317460319</v>
      </c>
      <c r="Q102" s="108">
        <f>SUM('Pago Cuota MC 2025'!J99)</f>
        <v>388.32</v>
      </c>
      <c r="R102" s="119">
        <f>SUM(-P102,Q102)+Tabla3[[#This Row],[Saldo13]]</f>
        <v>2.6215288369257905E-4</v>
      </c>
      <c r="S102" s="122">
        <f>SUM('Jun 25'!L99)</f>
        <v>379.2458197019007</v>
      </c>
      <c r="T102" s="108">
        <f>SUM('Pago Cuota MC 2025'!K99)</f>
        <v>379.25</v>
      </c>
      <c r="U102" s="119">
        <f>SUM(-S102,T102)+Tabla3[[#This Row],[Saldo132]]</f>
        <v>4.4424509829923409E-3</v>
      </c>
      <c r="V102" s="122">
        <f>SUM('Jul 25'!L99)</f>
        <v>372.67150101651526</v>
      </c>
      <c r="W102" s="108">
        <f>SUM('Pago Cuota MC 2025'!L99)</f>
        <v>372</v>
      </c>
      <c r="X102" s="119">
        <f>SUM(-V102,W102)+Tabla3[[#This Row],[Saldo16]]</f>
        <v>-0.6670585655322725</v>
      </c>
      <c r="Y102" s="122">
        <f>SUM('Ago 25'!L99)</f>
        <v>404.31478092439374</v>
      </c>
      <c r="Z102" s="108">
        <f>SUM('Pago Cuota MC 2025'!M99)</f>
        <v>405</v>
      </c>
      <c r="AA102" s="119">
        <f>SUM(-Y102,Z102)+Tabla3[[#This Row],[Saldo19]]</f>
        <v>1.8160510073983005E-2</v>
      </c>
      <c r="AB102" s="122">
        <f>SUM('Sep 25'!L99)</f>
        <v>391.46755028391169</v>
      </c>
      <c r="AC102" s="108">
        <f>SUM('Pago Cuota MC 2025'!N99)</f>
        <v>391.5</v>
      </c>
      <c r="AD102" s="119">
        <f>SUM(-AB102,AC102)+Tabla3[[#This Row],[Saldo22]]</f>
        <v>5.0610226162291383E-2</v>
      </c>
      <c r="AE102" s="122">
        <f>SUM('Oct 25'!L99)</f>
        <v>387.55856290320423</v>
      </c>
      <c r="AF102" s="108">
        <f>SUM('Pago Cuota MC 2025'!O99)</f>
        <v>387.51</v>
      </c>
      <c r="AG102" s="145">
        <f>SUM(-AE102,AF102)+Tabla3[[#This Row],[Saldo25]]</f>
        <v>2.0473229580488805E-3</v>
      </c>
      <c r="AH102" s="122">
        <f>SUM('Nov 25'!L99)</f>
        <v>396.56916745724698</v>
      </c>
      <c r="AI102" s="108">
        <f>SUM('Pago Cuota MC 2025'!P99)</f>
        <v>396.57</v>
      </c>
      <c r="AJ102" s="119">
        <f>SUM(-AH102,AI102)+Tabla3[[#This Row],[Saldo28]]</f>
        <v>2.8798657110655768E-3</v>
      </c>
      <c r="AK102" s="122">
        <f>SUM('Dic 25'!L99)</f>
        <v>408.98465167557526</v>
      </c>
      <c r="AL102" s="108">
        <f>SUM('Pago Cuota MC 2025'!Q99)</f>
        <v>409</v>
      </c>
      <c r="AM102" s="145">
        <f>SUM(-AK102,AL102)+Tabla3[[#This Row],[Saldo31]]</f>
        <v>1.8228190135801015E-2</v>
      </c>
      <c r="AN102" s="128">
        <f t="shared" ref="AN102:AN137" si="7">SUM(AM102)</f>
        <v>1.8228190135801015E-2</v>
      </c>
      <c r="AO102" s="29"/>
      <c r="AP102" s="106" t="s">
        <v>12</v>
      </c>
    </row>
    <row r="103" spans="1:43" ht="16.149999999999999" thickBot="1" x14ac:dyDescent="0.5">
      <c r="A103" s="313"/>
      <c r="B103" s="16" t="s">
        <v>7</v>
      </c>
      <c r="C103" s="116">
        <v>502</v>
      </c>
      <c r="D103" s="118">
        <f>SUM('Ene 25'!L100)-('Pago Cuota MC 2024'!F100)</f>
        <v>338.29712043440958</v>
      </c>
      <c r="E103" s="108">
        <f>SUM('Pago Cuota MC 2025'!F100)</f>
        <v>340</v>
      </c>
      <c r="F103" s="119">
        <f t="shared" si="6"/>
        <v>1.7028795655904219</v>
      </c>
      <c r="G103" s="118">
        <f>SUM('Feb 25'!L100)</f>
        <v>356.87527810452866</v>
      </c>
      <c r="H103" s="108">
        <f>SUM('Pago Cuota MC 2025'!G100)</f>
        <v>356</v>
      </c>
      <c r="I103" s="119">
        <f>SUM(-G103,H103)+Tabla3[[#This Row],[Saldo]]</f>
        <v>0.8276014610617608</v>
      </c>
      <c r="J103" s="118">
        <f>SUM('Mar 25'!L100)</f>
        <v>359.89056472737184</v>
      </c>
      <c r="K103" s="108">
        <f>SUM('Pago Cuota MC 2025'!H100)</f>
        <v>360</v>
      </c>
      <c r="L103" s="119">
        <f>SUM(-J103,K103)+Tabla3[[#This Row],[Saldo4]]</f>
        <v>0.93703673368992213</v>
      </c>
      <c r="M103" s="122">
        <f>SUM('Abr 25'!L100)</f>
        <v>339.31252329344227</v>
      </c>
      <c r="N103" s="108">
        <f>SUM('Pago Cuota MC 2025'!I100)</f>
        <v>340</v>
      </c>
      <c r="O103" s="119">
        <f>SUM(-M103,N103)+Tabla3[[#This Row],[Saldo7]]</f>
        <v>1.6245134402476538</v>
      </c>
      <c r="P103" s="122">
        <f>SUM('May 25'!L100)</f>
        <v>410.7463084126984</v>
      </c>
      <c r="Q103" s="108">
        <f>SUM('Pago Cuota MC 2025'!J100)</f>
        <v>410</v>
      </c>
      <c r="R103" s="119">
        <f>SUM(-P103,Q103)+Tabla3[[#This Row],[Saldo13]]</f>
        <v>0.87820502754925656</v>
      </c>
      <c r="S103" s="122">
        <f>SUM('Jun 25'!L100)</f>
        <v>366.18489342433207</v>
      </c>
      <c r="T103" s="108">
        <f>SUM('Pago Cuota MC 2025'!K100)</f>
        <v>370</v>
      </c>
      <c r="U103" s="119">
        <f>SUM(-S103,T103)+Tabla3[[#This Row],[Saldo132]]</f>
        <v>4.6933116032171824</v>
      </c>
      <c r="V103" s="122">
        <f>SUM('Jul 25'!L100)</f>
        <v>358.7904626349474</v>
      </c>
      <c r="W103" s="108">
        <f>SUM('Pago Cuota MC 2025'!L100)</f>
        <v>355</v>
      </c>
      <c r="X103" s="119">
        <f>SUM(-V103,W103)+Tabla3[[#This Row],[Saldo16]]</f>
        <v>0.90284896826977956</v>
      </c>
      <c r="Y103" s="122">
        <f>SUM('Ago 25'!L100)</f>
        <v>355.54303781455064</v>
      </c>
      <c r="Z103" s="108">
        <f>SUM('Pago Cuota MC 2025'!M100)</f>
        <v>360</v>
      </c>
      <c r="AA103" s="119">
        <f>SUM(-Y103,Z103)+Tabla3[[#This Row],[Saldo19]]</f>
        <v>5.3598111537191357</v>
      </c>
      <c r="AB103" s="122">
        <f>SUM('Sep 25'!L100)</f>
        <v>356.06569539432178</v>
      </c>
      <c r="AC103" s="108">
        <f>SUM('Pago Cuota MC 2025'!N100)</f>
        <v>351</v>
      </c>
      <c r="AD103" s="119">
        <f>SUM(-AB103,AC103)+Tabla3[[#This Row],[Saldo22]]</f>
        <v>0.29411575939735712</v>
      </c>
      <c r="AE103" s="122">
        <f>SUM('Oct 25'!L100)</f>
        <v>352.31517669007957</v>
      </c>
      <c r="AF103" s="108">
        <f>SUM('Pago Cuota MC 2025'!O100)</f>
        <v>355</v>
      </c>
      <c r="AG103" s="145">
        <f>SUM(-AE103,AF103)+Tabla3[[#This Row],[Saldo25]]</f>
        <v>2.9789390693177893</v>
      </c>
      <c r="AH103" s="122">
        <f>SUM('Nov 25'!L100)</f>
        <v>378.4080719988786</v>
      </c>
      <c r="AI103" s="108">
        <f>SUM('Pago Cuota MC 2025'!P100)</f>
        <v>376</v>
      </c>
      <c r="AJ103" s="119">
        <f>SUM(-AH103,AI103)+Tabla3[[#This Row],[Saldo28]]</f>
        <v>0.57086707043919205</v>
      </c>
      <c r="AK103" s="122">
        <f>SUM('Dic 25'!L100)</f>
        <v>352.12338208751885</v>
      </c>
      <c r="AL103" s="108">
        <f>SUM('Pago Cuota MC 2025'!Q100)</f>
        <v>352</v>
      </c>
      <c r="AM103" s="145">
        <f>SUM(-AK103,AL103)+Tabla3[[#This Row],[Saldo31]]</f>
        <v>0.44748498292034355</v>
      </c>
      <c r="AN103" s="128">
        <f t="shared" si="7"/>
        <v>0.44748498292034355</v>
      </c>
      <c r="AO103" s="29"/>
      <c r="AP103" s="106" t="s">
        <v>12</v>
      </c>
    </row>
    <row r="104" spans="1:43" ht="16.149999999999999" thickBot="1" x14ac:dyDescent="0.5">
      <c r="A104" s="313"/>
      <c r="B104" s="16" t="s">
        <v>7</v>
      </c>
      <c r="C104" s="116">
        <v>503</v>
      </c>
      <c r="D104" s="118">
        <f>SUM('Ene 25'!L101)-('Pago Cuota MC 2024'!F101)</f>
        <v>-4.7466482822073885E-3</v>
      </c>
      <c r="E104" s="108">
        <f>SUM('Pago Cuota MC 2025'!F101)</f>
        <v>0</v>
      </c>
      <c r="F104" s="119">
        <f t="shared" si="6"/>
        <v>4.7466482822073885E-3</v>
      </c>
      <c r="G104" s="118">
        <f>SUM('Feb 25'!L101)</f>
        <v>420.59668824409005</v>
      </c>
      <c r="H104" s="108">
        <f>SUM('Pago Cuota MC 2025'!G101)</f>
        <v>420.6</v>
      </c>
      <c r="I104" s="119">
        <f>SUM(-G104,H104)+Tabla3[[#This Row],[Saldo]]</f>
        <v>8.0584041921838434E-3</v>
      </c>
      <c r="J104" s="118">
        <f>SUM('Mar 25'!L101)</f>
        <v>398.204869089422</v>
      </c>
      <c r="K104" s="108">
        <f>SUM('Pago Cuota MC 2025'!H101)</f>
        <v>0</v>
      </c>
      <c r="L104" s="119">
        <f>SUM(-J104,K104)+Tabla3[[#This Row],[Saldo4]]</f>
        <v>-398.19681068522982</v>
      </c>
      <c r="M104" s="122">
        <f>SUM('Abr 25'!L101)</f>
        <v>410.7175518982292</v>
      </c>
      <c r="N104" s="108">
        <f>SUM('Pago Cuota MC 2025'!I101)</f>
        <v>0</v>
      </c>
      <c r="O104" s="119">
        <f>SUM(-M104,N104)+Tabla3[[#This Row],[Saldo7]]</f>
        <v>-808.91436258345902</v>
      </c>
      <c r="P104" s="122">
        <f>SUM('May 25'!L101)</f>
        <v>415.06344293650795</v>
      </c>
      <c r="Q104" s="108">
        <f>SUM('Pago Cuota MC 2025'!J101)</f>
        <v>0</v>
      </c>
      <c r="R104" s="119">
        <f>SUM(-P104,Q104)+Tabla3[[#This Row],[Saldo13]]</f>
        <v>-1223.977805519967</v>
      </c>
      <c r="S104" s="122">
        <f>SUM('Jun 25'!L101)</f>
        <v>423.1638211542944</v>
      </c>
      <c r="T104" s="108">
        <f>SUM('Pago Cuota MC 2025'!K101)</f>
        <v>0</v>
      </c>
      <c r="U104" s="119">
        <f>SUM(-S104,T104)+Tabla3[[#This Row],[Saldo132]]</f>
        <v>-1647.1416266742613</v>
      </c>
      <c r="V104" s="122">
        <f>SUM('Jul 25'!L101)</f>
        <v>413.99693951047425</v>
      </c>
      <c r="W104" s="108">
        <f>SUM('Pago Cuota MC 2025'!L101)</f>
        <v>0</v>
      </c>
      <c r="X104" s="119">
        <f>SUM(-V104,W104)+Tabla3[[#This Row],[Saldo16]]</f>
        <v>-2061.1385661847353</v>
      </c>
      <c r="Y104" s="122">
        <f>SUM('Ago 25'!L101)</f>
        <v>400.7151559315264</v>
      </c>
      <c r="Z104" s="108">
        <f>SUM('Pago Cuota MC 2025'!M101)</f>
        <v>0</v>
      </c>
      <c r="AA104" s="119">
        <f>SUM(-Y104,Z104)+Tabla3[[#This Row],[Saldo19]]</f>
        <v>-2461.8537221162615</v>
      </c>
      <c r="AB104" s="122">
        <f>SUM('Sep 25'!L101)</f>
        <v>401.62290675078862</v>
      </c>
      <c r="AC104" s="108">
        <f>SUM('Pago Cuota MC 2025'!N101)</f>
        <v>3000</v>
      </c>
      <c r="AD104" s="119">
        <f>SUM(-AB104,AC104)+Tabla3[[#This Row],[Saldo22]]</f>
        <v>136.52337113295016</v>
      </c>
      <c r="AE104" s="122">
        <f>SUM('Oct 25'!L101)</f>
        <v>397.71322395076595</v>
      </c>
      <c r="AF104" s="108">
        <f>SUM('Pago Cuota MC 2025'!O101)</f>
        <v>0</v>
      </c>
      <c r="AG104" s="145">
        <f>SUM(-AE104,AF104)+Tabla3[[#This Row],[Saldo25]]</f>
        <v>-261.18985281781579</v>
      </c>
      <c r="AH104" s="122">
        <f>SUM('Nov 25'!L101)</f>
        <v>413.9010894925708</v>
      </c>
      <c r="AI104" s="108">
        <f>SUM('Pago Cuota MC 2025'!P101)</f>
        <v>0</v>
      </c>
      <c r="AJ104" s="119">
        <f>SUM(-AH104,AI104)+Tabla3[[#This Row],[Saldo28]]</f>
        <v>-675.09094231038659</v>
      </c>
      <c r="AK104" s="122">
        <f>SUM('Dic 25'!L101)</f>
        <v>423.35133934491444</v>
      </c>
      <c r="AL104" s="108">
        <f>SUM('Pago Cuota MC 2025'!Q101)</f>
        <v>0</v>
      </c>
      <c r="AM104" s="145">
        <f>SUM(-AK104,AL104)+Tabla3[[#This Row],[Saldo31]]</f>
        <v>-1098.442281655301</v>
      </c>
      <c r="AN104" s="128">
        <f t="shared" si="7"/>
        <v>-1098.442281655301</v>
      </c>
      <c r="AO104" s="29"/>
      <c r="AP104" s="106">
        <f>SUM(Tabla3[[#This Row],[Saldo Anual]])</f>
        <v>-1098.442281655301</v>
      </c>
    </row>
    <row r="105" spans="1:43" ht="16.149999999999999" thickBot="1" x14ac:dyDescent="0.5">
      <c r="A105" s="313"/>
      <c r="B105" s="16" t="s">
        <v>7</v>
      </c>
      <c r="C105" s="116">
        <v>504</v>
      </c>
      <c r="D105" s="118">
        <f>SUM('Ene 25'!L102)-('Pago Cuota MC 2024'!F102)</f>
        <v>345.84256040856155</v>
      </c>
      <c r="E105" s="108">
        <f>SUM('Pago Cuota MC 2025'!F102)</f>
        <v>345.84</v>
      </c>
      <c r="F105" s="119">
        <f t="shared" si="6"/>
        <v>-2.5604085615782424E-3</v>
      </c>
      <c r="G105" s="118">
        <f>SUM('Feb 25'!L102)</f>
        <v>419.68060408003419</v>
      </c>
      <c r="H105" s="108">
        <f>SUM('Pago Cuota MC 2025'!G102)</f>
        <v>419.68</v>
      </c>
      <c r="I105" s="119">
        <f>SUM(-G105,H105)+Tabla3[[#This Row],[Saldo]]</f>
        <v>-3.1644885957575752E-3</v>
      </c>
      <c r="J105" s="118">
        <f>SUM('Mar 25'!L102)</f>
        <v>421.81982645038164</v>
      </c>
      <c r="K105" s="108">
        <f>SUM('Pago Cuota MC 2025'!H102)</f>
        <v>421.82</v>
      </c>
      <c r="L105" s="119">
        <f>SUM(-J105,K105)+Tabla3[[#This Row],[Saldo4]]</f>
        <v>-2.9909389774047668E-3</v>
      </c>
      <c r="M105" s="122">
        <f>SUM('Abr 25'!L102)</f>
        <v>413.24681885678149</v>
      </c>
      <c r="N105" s="108">
        <f>SUM('Pago Cuota MC 2025'!I102)</f>
        <v>413.25</v>
      </c>
      <c r="O105" s="119">
        <f>SUM(-M105,N105)+Tabla3[[#This Row],[Saldo7]]</f>
        <v>1.9020424110749445E-4</v>
      </c>
      <c r="P105" s="122">
        <f>SUM('May 25'!L102)</f>
        <v>429.07663936507936</v>
      </c>
      <c r="Q105" s="108">
        <f>SUM('Pago Cuota MC 2025'!J102)</f>
        <v>429.08</v>
      </c>
      <c r="R105" s="119">
        <f>SUM(-P105,Q105)+Tabla3[[#This Row],[Saldo13]]</f>
        <v>3.5508391617327106E-3</v>
      </c>
      <c r="S105" s="122">
        <f>SUM('Jun 25'!L102)</f>
        <v>402.89968406446121</v>
      </c>
      <c r="T105" s="108">
        <f>SUM('Pago Cuota MC 2025'!K102)</f>
        <v>402.9</v>
      </c>
      <c r="U105" s="119">
        <f>SUM(-S105,T105)+Tabla3[[#This Row],[Saldo132]]</f>
        <v>3.8667747004978992E-3</v>
      </c>
      <c r="V105" s="122">
        <f>SUM('Jul 25'!L102)</f>
        <v>398.94002352283724</v>
      </c>
      <c r="W105" s="108">
        <f>SUM('Pago Cuota MC 2025'!L102)</f>
        <v>398.94</v>
      </c>
      <c r="X105" s="119">
        <f>SUM(-V105,W105)+Tabla3[[#This Row],[Saldo16]]</f>
        <v>3.8432518632589563E-3</v>
      </c>
      <c r="Y105" s="122">
        <f>SUM('Ago 25'!L102)</f>
        <v>389.83536420542083</v>
      </c>
      <c r="Z105" s="108">
        <f>SUM('Pago Cuota MC 2025'!M102)</f>
        <v>389.83</v>
      </c>
      <c r="AA105" s="119">
        <f>SUM(-Y105,Z105)+Tabla3[[#This Row],[Saldo19]]</f>
        <v>-1.5209535575877453E-3</v>
      </c>
      <c r="AB105" s="122">
        <f>SUM('Sep 25'!L102)</f>
        <v>400.83166132492113</v>
      </c>
      <c r="AC105" s="108">
        <f>SUM('Pago Cuota MC 2025'!N102)</f>
        <v>400.83</v>
      </c>
      <c r="AD105" s="119">
        <f>SUM(-AB105,AC105)+Tabla3[[#This Row],[Saldo22]]</f>
        <v>-3.1822784787323144E-3</v>
      </c>
      <c r="AE105" s="122">
        <f>SUM('Oct 25'!L102)</f>
        <v>396.8807575449863</v>
      </c>
      <c r="AF105" s="108">
        <f>SUM('Pago Cuota MC 2025'!O102)</f>
        <v>396.88</v>
      </c>
      <c r="AG105" s="145">
        <f>SUM(-AE105,AF105)+Tabla3[[#This Row],[Saldo25]]</f>
        <v>-3.9398234650320774E-3</v>
      </c>
      <c r="AH105" s="122">
        <f>SUM('Nov 25'!L102)</f>
        <v>413.76564079618726</v>
      </c>
      <c r="AI105" s="108">
        <f>SUM('Pago Cuota MC 2025'!P102)</f>
        <v>413.77</v>
      </c>
      <c r="AJ105" s="119">
        <f>SUM(-AH105,AI105)+Tabla3[[#This Row],[Saldo28]]</f>
        <v>4.1938034769373189E-4</v>
      </c>
      <c r="AK105" s="122">
        <f>SUM('Dic 25'!L102)</f>
        <v>405.6005669921359</v>
      </c>
      <c r="AL105" s="108">
        <f>SUM('Pago Cuota MC 2025'!Q102)</f>
        <v>405.6</v>
      </c>
      <c r="AM105" s="145">
        <f>SUM(-AK105,AL105)+Tabla3[[#This Row],[Saldo31]]</f>
        <v>-1.4761178817934706E-4</v>
      </c>
      <c r="AN105" s="128">
        <f t="shared" si="7"/>
        <v>-1.4761178817934706E-4</v>
      </c>
      <c r="AO105" s="29"/>
      <c r="AP105" s="106" t="s">
        <v>12</v>
      </c>
    </row>
    <row r="106" spans="1:43" ht="16.149999999999999" thickBot="1" x14ac:dyDescent="0.5">
      <c r="A106" s="312"/>
      <c r="B106" s="16" t="s">
        <v>8</v>
      </c>
      <c r="C106" s="116">
        <v>101</v>
      </c>
      <c r="D106" s="118">
        <f>SUM('Ene 25'!L103)-('Pago Cuota MC 2024'!F103)</f>
        <v>7.1032303384299667E-4</v>
      </c>
      <c r="E106" s="108">
        <f>SUM('Pago Cuota MC 2025'!F103)</f>
        <v>0</v>
      </c>
      <c r="F106" s="119">
        <f t="shared" si="6"/>
        <v>-7.1032303384299667E-4</v>
      </c>
      <c r="G106" s="118">
        <f>SUM('Feb 25'!L103)</f>
        <v>437.95010678581605</v>
      </c>
      <c r="H106" s="108">
        <f>SUM('Pago Cuota MC 2025'!G103)</f>
        <v>0</v>
      </c>
      <c r="I106" s="119">
        <f>SUM(-G106,H106)+Tabla3[[#This Row],[Saldo]]</f>
        <v>-437.95081710884989</v>
      </c>
      <c r="J106" s="118">
        <f>SUM('Mar 25'!L103)</f>
        <v>432.76958092148305</v>
      </c>
      <c r="K106" s="108">
        <f>SUM('Pago Cuota MC 2025'!H103)</f>
        <v>870.72</v>
      </c>
      <c r="L106" s="119">
        <f>SUM(-J106,K106)+Tabla3[[#This Row],[Saldo4]]</f>
        <v>-3.9803033291718748E-4</v>
      </c>
      <c r="M106" s="122">
        <f>SUM('Abr 25'!L103)</f>
        <v>439.71059597295192</v>
      </c>
      <c r="N106" s="108">
        <f>SUM('Pago Cuota MC 2025'!I103)</f>
        <v>0</v>
      </c>
      <c r="O106" s="119">
        <f>SUM(-M106,N106)+Tabla3[[#This Row],[Saldo7]]</f>
        <v>-439.71099400328484</v>
      </c>
      <c r="P106" s="122">
        <f>SUM('May 25'!L103)</f>
        <v>455.63380722222223</v>
      </c>
      <c r="Q106" s="108">
        <f>SUM('Pago Cuota MC 2025'!J103)</f>
        <v>895.34</v>
      </c>
      <c r="R106" s="119">
        <f>SUM(-P106,Q106)+Tabla3[[#This Row],[Saldo13]]</f>
        <v>-4.8012255070375431E-3</v>
      </c>
      <c r="S106" s="122">
        <f>SUM('Jun 25'!L103)</f>
        <v>459.00581050340691</v>
      </c>
      <c r="T106" s="108">
        <f>SUM('Pago Cuota MC 2025'!K103)</f>
        <v>0</v>
      </c>
      <c r="U106" s="119">
        <f>SUM(-S106,T106)+Tabla3[[#This Row],[Saldo132]]</f>
        <v>-459.01061172891394</v>
      </c>
      <c r="V106" s="122">
        <f>SUM('Jul 25'!L103)</f>
        <v>445.76549753239055</v>
      </c>
      <c r="W106" s="108">
        <f>SUM('Pago Cuota MC 2025'!L103)</f>
        <v>0</v>
      </c>
      <c r="X106" s="119">
        <f>SUM(-V106,W106)+Tabla3[[#This Row],[Saldo16]]</f>
        <v>-904.77610926130455</v>
      </c>
      <c r="Y106" s="122">
        <f>SUM('Ago 25'!L103)</f>
        <v>461.3386711383738</v>
      </c>
      <c r="Z106" s="108">
        <f>SUM('Pago Cuota MC 2025'!M103)</f>
        <v>1366.11</v>
      </c>
      <c r="AA106" s="119">
        <f>SUM(-Y106,Z106)+Tabla3[[#This Row],[Saldo19]]</f>
        <v>-4.7803996784523406E-3</v>
      </c>
      <c r="AB106" s="122">
        <f>SUM('Sep 25'!L103)</f>
        <v>431.56893829652995</v>
      </c>
      <c r="AC106" s="108">
        <f>SUM('Pago Cuota MC 2025'!N103)</f>
        <v>0</v>
      </c>
      <c r="AD106" s="119">
        <f>SUM(-AB106,AC106)+Tabla3[[#This Row],[Saldo22]]</f>
        <v>-431.5737186962084</v>
      </c>
      <c r="AE106" s="122">
        <f>SUM('Oct 25'!L103)</f>
        <v>427.48044580507053</v>
      </c>
      <c r="AF106" s="108">
        <f>SUM('Pago Cuota MC 2025'!O103)</f>
        <v>0</v>
      </c>
      <c r="AG106" s="145">
        <f>SUM(-AE106,AF106)+Tabla3[[#This Row],[Saldo25]]</f>
        <v>-859.05416450127893</v>
      </c>
      <c r="AH106" s="122">
        <f>SUM('Nov 25'!L103)</f>
        <v>448.67909109055228</v>
      </c>
      <c r="AI106" s="108">
        <f>SUM('Pago Cuota MC 2025'!P103)</f>
        <v>1307.73</v>
      </c>
      <c r="AJ106" s="119">
        <f>SUM(-AH106,AI106)+Tabla3[[#This Row],[Saldo28]]</f>
        <v>-3.2555918311345522E-3</v>
      </c>
      <c r="AK106" s="122">
        <f>SUM('Dic 25'!L103)</f>
        <v>454.86435029321416</v>
      </c>
      <c r="AL106" s="108">
        <f>SUM('Pago Cuota MC 2025'!Q103)</f>
        <v>0</v>
      </c>
      <c r="AM106" s="145">
        <f>SUM(-AK106,AL106)+Tabla3[[#This Row],[Saldo31]]</f>
        <v>-454.86760588504529</v>
      </c>
      <c r="AN106" s="128">
        <f t="shared" si="7"/>
        <v>-454.86760588504529</v>
      </c>
      <c r="AO106" s="29"/>
      <c r="AP106" s="106">
        <f>SUM(Tabla3[[#This Row],[Saldo Anual]])</f>
        <v>-454.86760588504529</v>
      </c>
      <c r="AQ106" t="s">
        <v>12</v>
      </c>
    </row>
    <row r="107" spans="1:43" ht="16.149999999999999" thickBot="1" x14ac:dyDescent="0.5">
      <c r="A107" s="312"/>
      <c r="B107" s="16" t="s">
        <v>8</v>
      </c>
      <c r="C107" s="116">
        <v>102</v>
      </c>
      <c r="D107" s="118">
        <f>SUM('Ene 25'!L104)-('Pago Cuota MC 2024'!F104)</f>
        <v>344.73487345507107</v>
      </c>
      <c r="E107" s="108">
        <f>SUM('Pago Cuota MC 2025'!F104)</f>
        <v>345</v>
      </c>
      <c r="F107" s="119">
        <f t="shared" si="6"/>
        <v>0.26512654492893262</v>
      </c>
      <c r="G107" s="118">
        <f>SUM('Feb 25'!L104)</f>
        <v>434.07878664910288</v>
      </c>
      <c r="H107" s="108">
        <f>SUM('Pago Cuota MC 2025'!G104)</f>
        <v>434</v>
      </c>
      <c r="I107" s="119">
        <f>SUM(-G107,H107)+Tabla3[[#This Row],[Saldo]]</f>
        <v>0.18633989582605182</v>
      </c>
      <c r="J107" s="118">
        <f>SUM('Mar 25'!L104)</f>
        <v>415.16262754089416</v>
      </c>
      <c r="K107" s="108">
        <f>SUM('Pago Cuota MC 2025'!H104)</f>
        <v>415</v>
      </c>
      <c r="L107" s="119">
        <f>SUM(-J107,K107)+Tabla3[[#This Row],[Saldo4]]</f>
        <v>2.3712354931888058E-2</v>
      </c>
      <c r="M107" s="122">
        <f>SUM('Abr 25'!L104)</f>
        <v>425.10021625899981</v>
      </c>
      <c r="N107" s="108">
        <f>SUM('Pago Cuota MC 2025'!I104)</f>
        <v>426</v>
      </c>
      <c r="O107" s="119">
        <f>SUM(-M107,N107)+Tabla3[[#This Row],[Saldo7]]</f>
        <v>0.92349609593208015</v>
      </c>
      <c r="P107" s="122">
        <f>SUM('May 25'!L104)</f>
        <v>450.09437626984129</v>
      </c>
      <c r="Q107" s="108">
        <f>SUM('Pago Cuota MC 2025'!J104)</f>
        <v>450</v>
      </c>
      <c r="R107" s="119">
        <f>SUM(-P107,Q107)+Tabla3[[#This Row],[Saldo13]]</f>
        <v>0.82911982609078905</v>
      </c>
      <c r="S107" s="122">
        <f>SUM('Jun 25'!L104)</f>
        <v>438.76672274116913</v>
      </c>
      <c r="T107" s="108">
        <f>SUM('Pago Cuota MC 2025'!K104)</f>
        <v>438</v>
      </c>
      <c r="U107" s="119">
        <f>SUM(-S107,T107)+Tabla3[[#This Row],[Saldo132]]</f>
        <v>6.2397084921656187E-2</v>
      </c>
      <c r="V107" s="122">
        <f>SUM('Jul 25'!L104)</f>
        <v>434.5932412806344</v>
      </c>
      <c r="W107" s="108">
        <f>SUM('Pago Cuota MC 2025'!L104)</f>
        <v>435</v>
      </c>
      <c r="X107" s="119">
        <f>SUM(-V107,W107)+Tabla3[[#This Row],[Saldo16]]</f>
        <v>0.46915580428725434</v>
      </c>
      <c r="Y107" s="122">
        <f>SUM('Ago 25'!L104)</f>
        <v>421.72683673038517</v>
      </c>
      <c r="Z107" s="108">
        <f>SUM('Pago Cuota MC 2025'!M104)</f>
        <v>426</v>
      </c>
      <c r="AA107" s="119">
        <f>SUM(-Y107,Z107)+Tabla3[[#This Row],[Saldo19]]</f>
        <v>4.7423190739020811</v>
      </c>
      <c r="AB107" s="122">
        <f>SUM('Sep 25'!L104)</f>
        <v>414.35544176656151</v>
      </c>
      <c r="AC107" s="108">
        <f>SUM('Pago Cuota MC 2025'!N104)</f>
        <v>410</v>
      </c>
      <c r="AD107" s="119">
        <f>SUM(-AB107,AC107)+Tabla3[[#This Row],[Saldo22]]</f>
        <v>0.38687730734056913</v>
      </c>
      <c r="AE107" s="122">
        <f>SUM('Oct 25'!L104)</f>
        <v>410.34400173523312</v>
      </c>
      <c r="AF107" s="108">
        <f>SUM('Pago Cuota MC 2025'!O104)</f>
        <v>410</v>
      </c>
      <c r="AG107" s="145">
        <f>SUM(-AE107,AF107)+Tabla3[[#This Row],[Saldo25]]</f>
        <v>4.2875572107448079E-2</v>
      </c>
      <c r="AH107" s="122">
        <f>SUM('Nov 25'!L104)</f>
        <v>429.4814390299972</v>
      </c>
      <c r="AI107" s="108">
        <f>SUM('Pago Cuota MC 2025'!P104)</f>
        <v>430</v>
      </c>
      <c r="AJ107" s="119">
        <f>SUM(-AH107,AI107)+Tabla3[[#This Row],[Saldo28]]</f>
        <v>0.56143654211024341</v>
      </c>
      <c r="AK107" s="122">
        <f>SUM('Dic 25'!L104)</f>
        <v>438.05397841043839</v>
      </c>
      <c r="AL107" s="108">
        <f>SUM('Pago Cuota MC 2025'!Q104)</f>
        <v>438</v>
      </c>
      <c r="AM107" s="145">
        <f>SUM(-AK107,AL107)+Tabla3[[#This Row],[Saldo31]]</f>
        <v>0.50745813167185361</v>
      </c>
      <c r="AN107" s="128">
        <f t="shared" si="7"/>
        <v>0.50745813167185361</v>
      </c>
      <c r="AO107" s="29"/>
      <c r="AP107" s="106" t="s">
        <v>12</v>
      </c>
    </row>
    <row r="108" spans="1:43" ht="16.149999999999999" thickBot="1" x14ac:dyDescent="0.5">
      <c r="A108" s="312"/>
      <c r="B108" s="16" t="s">
        <v>8</v>
      </c>
      <c r="C108" s="116">
        <v>103</v>
      </c>
      <c r="D108" s="118">
        <f>SUM('Ene 25'!L105)-('Pago Cuota MC 2024'!F105)</f>
        <v>-35.732636142886747</v>
      </c>
      <c r="E108" s="108">
        <f>SUM('Pago Cuota MC 2025'!F105)</f>
        <v>0</v>
      </c>
      <c r="F108" s="119">
        <f t="shared" si="6"/>
        <v>35.732636142886747</v>
      </c>
      <c r="G108" s="118">
        <f>SUM('Feb 25'!L105)</f>
        <v>371.27450553261184</v>
      </c>
      <c r="H108" s="108">
        <f>SUM('Pago Cuota MC 2025'!G105)</f>
        <v>0</v>
      </c>
      <c r="I108" s="119">
        <f>SUM(-G108,H108)+Tabla3[[#This Row],[Saldo]]</f>
        <v>-335.54186938972509</v>
      </c>
      <c r="J108" s="118">
        <f>SUM('Mar 25'!L105)</f>
        <v>349.07304733369676</v>
      </c>
      <c r="K108" s="108">
        <f>SUM('Pago Cuota MC 2025'!H105)</f>
        <v>700</v>
      </c>
      <c r="L108" s="119">
        <f>SUM(-J108,K108)+Tabla3[[#This Row],[Saldo4]]</f>
        <v>15.385083276578143</v>
      </c>
      <c r="M108" s="122">
        <f>SUM('Abr 25'!L105)</f>
        <v>451.88202451936172</v>
      </c>
      <c r="N108" s="108">
        <f>SUM('Pago Cuota MC 2025'!I105)</f>
        <v>0</v>
      </c>
      <c r="O108" s="119">
        <f>SUM(-M108,N108)+Tabla3[[#This Row],[Saldo7]]</f>
        <v>-436.49694124278358</v>
      </c>
      <c r="P108" s="122">
        <f>SUM('May 25'!L105)</f>
        <v>408.82026555555558</v>
      </c>
      <c r="Q108" s="108">
        <f>SUM('Pago Cuota MC 2025'!J105)</f>
        <v>845</v>
      </c>
      <c r="R108" s="119">
        <f>SUM(-P108,Q108)+Tabla3[[#This Row],[Saldo13]]</f>
        <v>-0.3172067983391571</v>
      </c>
      <c r="S108" s="122">
        <f>SUM('Jun 25'!L105)</f>
        <v>383.5083482656446</v>
      </c>
      <c r="T108" s="108">
        <f>SUM('Pago Cuota MC 2025'!K105)</f>
        <v>380</v>
      </c>
      <c r="U108" s="119">
        <f>SUM(-S108,T108)+Tabla3[[#This Row],[Saldo132]]</f>
        <v>-3.8255550639837566</v>
      </c>
      <c r="V108" s="122">
        <f>SUM('Jul 25'!L105)</f>
        <v>380.08047095189039</v>
      </c>
      <c r="W108" s="108">
        <f>SUM('Pago Cuota MC 2025'!L105)</f>
        <v>400</v>
      </c>
      <c r="X108" s="119">
        <f>SUM(-V108,W108)+Tabla3[[#This Row],[Saldo16]]</f>
        <v>16.093973984125853</v>
      </c>
      <c r="Y108" s="122">
        <f>SUM('Ago 25'!L105)</f>
        <v>386.03857413409418</v>
      </c>
      <c r="Z108" s="108">
        <f>SUM('Pago Cuota MC 2025'!M105)</f>
        <v>380</v>
      </c>
      <c r="AA108" s="119">
        <f>SUM(-Y108,Z108)+Tabla3[[#This Row],[Saldo19]]</f>
        <v>10.055399850031677</v>
      </c>
      <c r="AB108" s="122">
        <f>SUM('Sep 25'!L105)</f>
        <v>391.47920201892742</v>
      </c>
      <c r="AC108" s="108">
        <f>SUM('Pago Cuota MC 2025'!N105)</f>
        <v>380</v>
      </c>
      <c r="AD108" s="119">
        <f>SUM(-AB108,AC108)+Tabla3[[#This Row],[Saldo22]]</f>
        <v>-1.4238021688957474</v>
      </c>
      <c r="AE108" s="122">
        <f>SUM('Oct 25'!L105)</f>
        <v>387.57016248177138</v>
      </c>
      <c r="AF108" s="108">
        <f>SUM('Pago Cuota MC 2025'!O105)</f>
        <v>424</v>
      </c>
      <c r="AG108" s="145">
        <f>SUM(-AE108,AF108)+Tabla3[[#This Row],[Saldo25]]</f>
        <v>35.006035349332876</v>
      </c>
      <c r="AH108" s="122">
        <f>SUM('Nov 25'!L105)</f>
        <v>396.19602145220074</v>
      </c>
      <c r="AI108" s="108">
        <f>SUM('Pago Cuota MC 2025'!P105)</f>
        <v>0</v>
      </c>
      <c r="AJ108" s="119">
        <f>SUM(-AH108,AI108)+Tabla3[[#This Row],[Saldo28]]</f>
        <v>-361.18998610286786</v>
      </c>
      <c r="AK108" s="122">
        <f>SUM('Dic 25'!L105)</f>
        <v>419.0829119741652</v>
      </c>
      <c r="AL108" s="108">
        <f>SUM('Pago Cuota MC 2025'!Q105)</f>
        <v>0</v>
      </c>
      <c r="AM108" s="145">
        <f>SUM(-AK108,AL108)+Tabla3[[#This Row],[Saldo31]]</f>
        <v>-780.27289807703301</v>
      </c>
      <c r="AN108" s="128">
        <f t="shared" si="7"/>
        <v>-780.27289807703301</v>
      </c>
      <c r="AO108" s="29"/>
      <c r="AP108" s="106">
        <f>SUM(Tabla3[[#This Row],[Saldo Anual]])</f>
        <v>-780.27289807703301</v>
      </c>
    </row>
    <row r="109" spans="1:43" ht="16.149999999999999" thickBot="1" x14ac:dyDescent="0.5">
      <c r="A109" s="312"/>
      <c r="B109" s="16" t="s">
        <v>8</v>
      </c>
      <c r="C109" s="116">
        <v>104</v>
      </c>
      <c r="D109" s="118">
        <f>SUM('Ene 25'!L106)-('Pago Cuota MC 2024'!F106)</f>
        <v>310.68730057451421</v>
      </c>
      <c r="E109" s="108">
        <f>SUM('Pago Cuota MC 2025'!F106)</f>
        <v>310.69</v>
      </c>
      <c r="F109" s="119">
        <f t="shared" si="6"/>
        <v>2.6994254857868327E-3</v>
      </c>
      <c r="G109" s="118">
        <f>SUM('Feb 25'!L106)</f>
        <v>320.83289658929084</v>
      </c>
      <c r="H109" s="108">
        <f>SUM('Pago Cuota MC 2025'!G106)</f>
        <v>320.83</v>
      </c>
      <c r="I109" s="119">
        <f>SUM(-G109,H109)+Tabla3[[#This Row],[Saldo]]</f>
        <v>-1.9716380506906717E-4</v>
      </c>
      <c r="J109" s="118">
        <f>SUM('Mar 25'!L106)</f>
        <v>335.88609040894215</v>
      </c>
      <c r="K109" s="108">
        <f>SUM('Pago Cuota MC 2025'!H106)</f>
        <v>335.89</v>
      </c>
      <c r="L109" s="119">
        <f>SUM(-J109,K109)+Tabla3[[#This Row],[Saldo4]]</f>
        <v>3.7124272527648827E-3</v>
      </c>
      <c r="M109" s="122">
        <f>SUM('Abr 25'!L106)</f>
        <v>317.0818119390932</v>
      </c>
      <c r="N109" s="108">
        <f>SUM('Pago Cuota MC 2025'!I106)</f>
        <v>317.08</v>
      </c>
      <c r="O109" s="119">
        <f>SUM(-M109,N109)+Tabla3[[#This Row],[Saldo7]]</f>
        <v>1.9004881595492407E-3</v>
      </c>
      <c r="P109" s="122">
        <f>SUM('May 25'!L106)</f>
        <v>339.2357941269841</v>
      </c>
      <c r="Q109" s="108">
        <f>SUM('Pago Cuota MC 2025'!J106)</f>
        <v>339.23</v>
      </c>
      <c r="R109" s="119">
        <f>SUM(-P109,Q109)+Tabla3[[#This Row],[Saldo13]]</f>
        <v>-3.8936388245360831E-3</v>
      </c>
      <c r="S109" s="122">
        <f>SUM('Jun 25'!L106)</f>
        <v>328.62235082078178</v>
      </c>
      <c r="T109" s="108">
        <f>SUM('Pago Cuota MC 2025'!K106)</f>
        <v>328.63</v>
      </c>
      <c r="U109" s="119">
        <f>SUM(-S109,T109)+Tabla3[[#This Row],[Saldo132]]</f>
        <v>3.7555403936835319E-3</v>
      </c>
      <c r="V109" s="122">
        <f>SUM('Jul 25'!L106)</f>
        <v>326.00283060347789</v>
      </c>
      <c r="W109" s="108">
        <f>SUM('Pago Cuota MC 2025'!L106)</f>
        <v>326</v>
      </c>
      <c r="X109" s="119">
        <f>SUM(-V109,W109)+Tabla3[[#This Row],[Saldo16]]</f>
        <v>9.2493691579420556E-4</v>
      </c>
      <c r="Y109" s="122">
        <f>SUM('Ago 25'!L106)</f>
        <v>323.76105048216834</v>
      </c>
      <c r="Z109" s="108">
        <f>SUM('Pago Cuota MC 2025'!M106)</f>
        <v>323.76</v>
      </c>
      <c r="AA109" s="119">
        <f>SUM(-Y109,Z109)+Tabla3[[#This Row],[Saldo19]]</f>
        <v>-1.2554525255836779E-4</v>
      </c>
      <c r="AB109" s="122">
        <f>SUM('Sep 25'!L106)</f>
        <v>321.00174082018924</v>
      </c>
      <c r="AC109" s="108">
        <f>SUM('Pago Cuota MC 2025'!N106)</f>
        <v>321</v>
      </c>
      <c r="AD109" s="119">
        <f>SUM(-AB109,AC109)+Tabla3[[#This Row],[Saldo22]]</f>
        <v>-1.8663654417991893E-3</v>
      </c>
      <c r="AE109" s="122">
        <f>SUM('Oct 25'!L106)</f>
        <v>317.40817825540165</v>
      </c>
      <c r="AF109" s="108">
        <f>SUM('Pago Cuota MC 2025'!O106)</f>
        <v>317.41000000000003</v>
      </c>
      <c r="AG109" s="145">
        <f>SUM(-AE109,AF109)+Tabla3[[#This Row],[Saldo25]]</f>
        <v>-4.462084342549133E-5</v>
      </c>
      <c r="AH109" s="122">
        <f>SUM('Nov 25'!L106)</f>
        <v>331.57427872722172</v>
      </c>
      <c r="AI109" s="108">
        <f>SUM('Pago Cuota MC 2025'!P106)</f>
        <v>331.57</v>
      </c>
      <c r="AJ109" s="119">
        <f>SUM(-AH109,AI109)+Tabla3[[#This Row],[Saldo28]]</f>
        <v>-4.3233480651565515E-3</v>
      </c>
      <c r="AK109" s="122">
        <f>SUM('Dic 25'!L106)</f>
        <v>386.44766959097478</v>
      </c>
      <c r="AL109" s="108">
        <f>SUM('Pago Cuota MC 2025'!Q106)</f>
        <v>386.45</v>
      </c>
      <c r="AM109" s="145">
        <f>SUM(-AK109,AL109)+Tabla3[[#This Row],[Saldo31]]</f>
        <v>-1.9929390399511249E-3</v>
      </c>
      <c r="AN109" s="128">
        <f t="shared" si="7"/>
        <v>-1.9929390399511249E-3</v>
      </c>
      <c r="AO109" s="29"/>
      <c r="AP109" s="106" t="s">
        <v>12</v>
      </c>
    </row>
    <row r="110" spans="1:43" ht="16.149999999999999" thickBot="1" x14ac:dyDescent="0.5">
      <c r="A110" s="312"/>
      <c r="B110" s="16" t="s">
        <v>8</v>
      </c>
      <c r="C110" s="116">
        <v>201</v>
      </c>
      <c r="D110" s="118">
        <f>SUM('Ene 25'!L107)-('Pago Cuota MC 2024'!F107)</f>
        <v>313.01841483436334</v>
      </c>
      <c r="E110" s="108">
        <f>SUM('Pago Cuota MC 2025'!F107)</f>
        <v>0</v>
      </c>
      <c r="F110" s="119">
        <f t="shared" si="6"/>
        <v>-313.01841483436334</v>
      </c>
      <c r="G110" s="118">
        <f>SUM('Feb 25'!L107)</f>
        <v>359.93714039447451</v>
      </c>
      <c r="H110" s="108">
        <f>SUM('Pago Cuota MC 2025'!G107)</f>
        <v>672.96</v>
      </c>
      <c r="I110" s="119">
        <f>SUM(-G110,H110)+Tabla3[[#This Row],[Saldo]]</f>
        <v>4.4447711621842245E-3</v>
      </c>
      <c r="J110" s="118">
        <f>SUM('Mar 25'!L107)</f>
        <v>357.5613320119956</v>
      </c>
      <c r="K110" s="108">
        <f>SUM('Pago Cuota MC 2025'!H107)</f>
        <v>0</v>
      </c>
      <c r="L110" s="119">
        <f>SUM(-J110,K110)+Tabla3[[#This Row],[Saldo4]]</f>
        <v>-357.55688724083342</v>
      </c>
      <c r="M110" s="122">
        <f>SUM('Abr 25'!L107)</f>
        <v>313.23504900856193</v>
      </c>
      <c r="N110" s="108">
        <f>SUM('Pago Cuota MC 2025'!I107)</f>
        <v>670.79</v>
      </c>
      <c r="O110" s="119">
        <f>SUM(-M110,N110)+Tabla3[[#This Row],[Saldo7]]</f>
        <v>-1.936249395384948E-3</v>
      </c>
      <c r="P110" s="122">
        <f>SUM('May 25'!L107)</f>
        <v>377.41095126984129</v>
      </c>
      <c r="Q110" s="108">
        <f>SUM('Pago Cuota MC 2025'!J107)</f>
        <v>0</v>
      </c>
      <c r="R110" s="119">
        <f>SUM(-P110,Q110)+Tabla3[[#This Row],[Saldo13]]</f>
        <v>-377.41288751923668</v>
      </c>
      <c r="S110" s="122">
        <f>SUM('Jun 25'!L107)</f>
        <v>327.72706136408465</v>
      </c>
      <c r="T110" s="108">
        <f>SUM('Pago Cuota MC 2025'!K107)</f>
        <v>705.14</v>
      </c>
      <c r="U110" s="119">
        <f>SUM(-S110,T110)+Tabla3[[#This Row],[Saldo132]]</f>
        <v>5.1116678662310733E-5</v>
      </c>
      <c r="V110" s="122">
        <f>SUM('Jul 25'!L107)</f>
        <v>327.49246477037872</v>
      </c>
      <c r="W110" s="108">
        <f>SUM('Pago Cuota MC 2025'!L107)</f>
        <v>0</v>
      </c>
      <c r="X110" s="119">
        <f>SUM(-V110,W110)+Tabla3[[#This Row],[Saldo16]]</f>
        <v>-327.49241365370005</v>
      </c>
      <c r="Y110" s="122">
        <f>SUM('Ago 25'!L107)</f>
        <v>323.15106155206848</v>
      </c>
      <c r="Z110" s="108">
        <f>SUM('Pago Cuota MC 2025'!M107)</f>
        <v>650.64</v>
      </c>
      <c r="AA110" s="119">
        <f>SUM(-Y110,Z110)+Tabla3[[#This Row],[Saldo19]]</f>
        <v>-3.4752057685523141E-3</v>
      </c>
      <c r="AB110" s="122">
        <f>SUM('Sep 25'!L107)</f>
        <v>320.83084870662458</v>
      </c>
      <c r="AC110" s="108">
        <f>SUM('Pago Cuota MC 2025'!N107)</f>
        <v>0</v>
      </c>
      <c r="AD110" s="119">
        <f>SUM(-AB110,AC110)+Tabla3[[#This Row],[Saldo22]]</f>
        <v>-320.83432391239313</v>
      </c>
      <c r="AE110" s="122">
        <f>SUM('Oct 25'!L107)</f>
        <v>317.23805110308382</v>
      </c>
      <c r="AF110" s="108">
        <f>SUM('Pago Cuota MC 2025'!O107)</f>
        <v>638.07000000000005</v>
      </c>
      <c r="AG110" s="145">
        <f>SUM(-AE110,AF110)+Tabla3[[#This Row],[Saldo25]]</f>
        <v>-2.3750154769004439E-3</v>
      </c>
      <c r="AH110" s="122">
        <f>SUM('Nov 25'!L107)</f>
        <v>323.571487810485</v>
      </c>
      <c r="AI110" s="108">
        <f>SUM('Pago Cuota MC 2025'!P107)</f>
        <v>0</v>
      </c>
      <c r="AJ110" s="119">
        <f>SUM(-AH110,AI110)+Tabla3[[#This Row],[Saldo28]]</f>
        <v>-323.5738628259619</v>
      </c>
      <c r="AK110" s="122">
        <f>SUM('Dic 25'!L107)</f>
        <v>328.55270166175166</v>
      </c>
      <c r="AL110" s="108">
        <f>SUM('Pago Cuota MC 2025'!Q107)</f>
        <v>652.13</v>
      </c>
      <c r="AM110" s="145">
        <f>SUM(-AK110,AL110)+Tabla3[[#This Row],[Saldo31]]</f>
        <v>3.4355122864440091E-3</v>
      </c>
      <c r="AN110" s="128">
        <f t="shared" si="7"/>
        <v>3.4355122864440091E-3</v>
      </c>
      <c r="AO110" s="29"/>
      <c r="AP110" s="106" t="s">
        <v>12</v>
      </c>
    </row>
    <row r="111" spans="1:43" ht="16.149999999999999" thickBot="1" x14ac:dyDescent="0.5">
      <c r="A111" s="312"/>
      <c r="B111" s="16" t="s">
        <v>8</v>
      </c>
      <c r="C111" s="116">
        <v>202</v>
      </c>
      <c r="D111" s="118">
        <f>SUM('Ene 25'!L108)-('Pago Cuota MC 2024'!F108)</f>
        <v>-3.5167301054457312E-3</v>
      </c>
      <c r="E111" s="108">
        <f>SUM('Pago Cuota MC 2025'!F108)</f>
        <v>0</v>
      </c>
      <c r="F111" s="119">
        <f t="shared" si="6"/>
        <v>3.5167301054457312E-3</v>
      </c>
      <c r="G111" s="118">
        <f>SUM('Feb 25'!L108)</f>
        <v>408.00016645542587</v>
      </c>
      <c r="H111" s="108">
        <f>SUM('Pago Cuota MC 2025'!G108)</f>
        <v>408</v>
      </c>
      <c r="I111" s="119">
        <f>SUM(-G111,H111)+Tabla3[[#This Row],[Saldo]]</f>
        <v>3.3502746795761595E-3</v>
      </c>
      <c r="J111" s="118">
        <f>SUM('Mar 25'!L108)</f>
        <v>411.49565982006538</v>
      </c>
      <c r="K111" s="108">
        <f>SUM('Pago Cuota MC 2025'!H108)</f>
        <v>411.49</v>
      </c>
      <c r="L111" s="119">
        <f>SUM(-J111,K111)+Tabla3[[#This Row],[Saldo4]]</f>
        <v>-2.3095453857990833E-3</v>
      </c>
      <c r="M111" s="122">
        <f>SUM('Abr 25'!L108)</f>
        <v>409.12354442595836</v>
      </c>
      <c r="N111" s="108">
        <f>SUM('Pago Cuota MC 2025'!I108)</f>
        <v>409.13</v>
      </c>
      <c r="O111" s="119">
        <f>SUM(-M111,N111)+Tabla3[[#This Row],[Saldo7]]</f>
        <v>4.146028655839018E-3</v>
      </c>
      <c r="P111" s="122">
        <f>SUM('May 25'!L108)</f>
        <v>420.82510960317461</v>
      </c>
      <c r="Q111" s="108">
        <f>SUM('Pago Cuota MC 2025'!J108)</f>
        <v>420.82</v>
      </c>
      <c r="R111" s="119">
        <f>SUM(-P111,Q111)+Tabla3[[#This Row],[Saldo13]]</f>
        <v>-9.635745187779321E-4</v>
      </c>
      <c r="S111" s="122">
        <f>SUM('Jun 25'!L108)</f>
        <v>408.62002908866776</v>
      </c>
      <c r="T111" s="108">
        <f>SUM('Pago Cuota MC 2025'!K108)</f>
        <v>408.62</v>
      </c>
      <c r="U111" s="119">
        <f>SUM(-S111,T111)+Tabla3[[#This Row],[Saldo132]]</f>
        <v>-9.9266318653690178E-4</v>
      </c>
      <c r="V111" s="122">
        <f>SUM('Jul 25'!L108)</f>
        <v>397.46606971558805</v>
      </c>
      <c r="W111" s="108">
        <f>SUM('Pago Cuota MC 2025'!L108)</f>
        <v>397.47</v>
      </c>
      <c r="X111" s="119">
        <f>SUM(-V111,W111)+Tabla3[[#This Row],[Saldo16]]</f>
        <v>2.9376212254419443E-3</v>
      </c>
      <c r="Y111" s="122">
        <f>SUM('Ago 25'!L108)</f>
        <v>398.34001755777462</v>
      </c>
      <c r="Z111" s="108">
        <f>SUM('Pago Cuota MC 2025'!M108)</f>
        <v>398.34</v>
      </c>
      <c r="AA111" s="119">
        <f>SUM(-Y111,Z111)+Tabla3[[#This Row],[Saldo19]]</f>
        <v>2.9200634508015355E-3</v>
      </c>
      <c r="AB111" s="122">
        <f>SUM('Sep 25'!L108)</f>
        <v>394.84266952681389</v>
      </c>
      <c r="AC111" s="108">
        <f>SUM('Pago Cuota MC 2025'!N108)</f>
        <v>394.84</v>
      </c>
      <c r="AD111" s="119">
        <f>SUM(-AB111,AC111)+Tabla3[[#This Row],[Saldo22]]</f>
        <v>2.5053663688368033E-4</v>
      </c>
      <c r="AE111" s="122">
        <f>SUM('Oct 25'!L108)</f>
        <v>390.91857416148235</v>
      </c>
      <c r="AF111" s="108">
        <f>SUM('Pago Cuota MC 2025'!O108)</f>
        <v>390.92</v>
      </c>
      <c r="AG111" s="145">
        <f>SUM(-AE111,AF111)+Tabla3[[#This Row],[Saldo25]]</f>
        <v>1.6763751545454397E-3</v>
      </c>
      <c r="AH111" s="122">
        <f>SUM('Nov 25'!L108)</f>
        <v>402.01551127558173</v>
      </c>
      <c r="AI111" s="108">
        <f>SUM('Pago Cuota MC 2025'!P108)</f>
        <v>402.01</v>
      </c>
      <c r="AJ111" s="119">
        <f>SUM(-AH111,AI111)+Tabla3[[#This Row],[Saldo28]]</f>
        <v>-3.8349004271935883E-3</v>
      </c>
      <c r="AK111" s="122">
        <f>SUM('Dic 25'!L108)</f>
        <v>397.92447246628581</v>
      </c>
      <c r="AL111" s="108">
        <f>SUM('Pago Cuota MC 2025'!Q108)</f>
        <v>397.93</v>
      </c>
      <c r="AM111" s="145">
        <f>SUM(-AK111,AL111)+Tabla3[[#This Row],[Saldo31]]</f>
        <v>1.6926332870070837E-3</v>
      </c>
      <c r="AN111" s="128">
        <f t="shared" si="7"/>
        <v>1.6926332870070837E-3</v>
      </c>
      <c r="AO111" s="29"/>
      <c r="AP111" s="106" t="s">
        <v>12</v>
      </c>
    </row>
    <row r="112" spans="1:43" ht="16.149999999999999" thickBot="1" x14ac:dyDescent="0.5">
      <c r="A112" s="312"/>
      <c r="B112" s="16" t="s">
        <v>8</v>
      </c>
      <c r="C112" s="116">
        <v>203</v>
      </c>
      <c r="D112" s="118">
        <f>SUM('Ene 25'!L109)-('Pago Cuota MC 2024'!F109)</f>
        <v>315.98583006129383</v>
      </c>
      <c r="E112" s="108">
        <f>SUM('Pago Cuota MC 2025'!F109)</f>
        <v>315.99</v>
      </c>
      <c r="F112" s="119">
        <f t="shared" si="6"/>
        <v>4.1699387061839843E-3</v>
      </c>
      <c r="G112" s="118">
        <f>SUM('Feb 25'!L109)</f>
        <v>364.82126044574198</v>
      </c>
      <c r="H112" s="108">
        <f>SUM('Pago Cuota MC 2025'!G109)</f>
        <v>364.82</v>
      </c>
      <c r="I112" s="119">
        <f>SUM(-G112,H112)+Tabla3[[#This Row],[Saldo]]</f>
        <v>2.9094929641928502E-3</v>
      </c>
      <c r="J112" s="118">
        <f>SUM('Mar 25'!L109)</f>
        <v>365.30839149945467</v>
      </c>
      <c r="K112" s="108">
        <f>SUM('Pago Cuota MC 2025'!H109)</f>
        <v>365.31</v>
      </c>
      <c r="L112" s="119">
        <f>SUM(-J112,K112)+Tabla3[[#This Row],[Saldo4]]</f>
        <v>4.5179935095234214E-3</v>
      </c>
      <c r="M112" s="122">
        <f>SUM('Abr 25'!L109)</f>
        <v>354.59791637575404</v>
      </c>
      <c r="N112" s="108">
        <f>SUM('Pago Cuota MC 2025'!I109)</f>
        <v>354.59</v>
      </c>
      <c r="O112" s="119">
        <f>SUM(-M112,N112)+Tabla3[[#This Row],[Saldo7]]</f>
        <v>-3.3983822445406986E-3</v>
      </c>
      <c r="P112" s="122">
        <f>SUM('May 25'!L109)</f>
        <v>374.87993341269839</v>
      </c>
      <c r="Q112" s="108">
        <f>SUM('Pago Cuota MC 2025'!J109)</f>
        <v>374.88</v>
      </c>
      <c r="R112" s="119">
        <f>SUM(-P112,Q112)+Tabla3[[#This Row],[Saldo13]]</f>
        <v>-3.3317949429374494E-3</v>
      </c>
      <c r="S112" s="122">
        <f>SUM('Jun 25'!L109)</f>
        <v>369.51251795364891</v>
      </c>
      <c r="T112" s="108">
        <f>SUM('Pago Cuota MC 2025'!K109)</f>
        <v>369.52</v>
      </c>
      <c r="U112" s="119">
        <f>SUM(-S112,T112)+Tabla3[[#This Row],[Saldo132]]</f>
        <v>4.1502514081344088E-3</v>
      </c>
      <c r="V112" s="122">
        <f>SUM('Jul 25'!L109)</f>
        <v>365.13708820392748</v>
      </c>
      <c r="W112" s="108">
        <f>SUM('Pago Cuota MC 2025'!L109)</f>
        <v>365.13</v>
      </c>
      <c r="X112" s="119">
        <f>SUM(-V112,W112)+Tabla3[[#This Row],[Saldo16]]</f>
        <v>-2.9379525193462541E-3</v>
      </c>
      <c r="Y112" s="122">
        <f>SUM('Ago 25'!L109)</f>
        <v>360.55589556062768</v>
      </c>
      <c r="Z112" s="108">
        <f>SUM('Pago Cuota MC 2025'!M109)</f>
        <v>360.56</v>
      </c>
      <c r="AA112" s="119">
        <f>SUM(-Y112,Z112)+Tabla3[[#This Row],[Saldo19]]</f>
        <v>1.1664868529805972E-3</v>
      </c>
      <c r="AB112" s="122">
        <f>SUM('Sep 25'!L109)</f>
        <v>361.20022662460565</v>
      </c>
      <c r="AC112" s="108">
        <f>SUM('Pago Cuota MC 2025'!N109)</f>
        <v>361.2</v>
      </c>
      <c r="AD112" s="119">
        <f>SUM(-AB112,AC112)+Tabla3[[#This Row],[Saldo22]]</f>
        <v>9.398622473213436E-4</v>
      </c>
      <c r="AE112" s="122">
        <f>SUM('Oct 25'!L109)</f>
        <v>357.42672431199412</v>
      </c>
      <c r="AF112" s="108">
        <f>SUM('Pago Cuota MC 2025'!O109)</f>
        <v>357.43</v>
      </c>
      <c r="AG112" s="145">
        <f>SUM(-AE112,AF112)+Tabla3[[#This Row],[Saldo25]]</f>
        <v>4.2155502532068567E-3</v>
      </c>
      <c r="AH112" s="122">
        <f>SUM('Nov 25'!L109)</f>
        <v>341.34752834875246</v>
      </c>
      <c r="AI112" s="108">
        <f>SUM('Pago Cuota MC 2025'!P109)</f>
        <v>341.34</v>
      </c>
      <c r="AJ112" s="119">
        <f>SUM(-AH112,AI112)+Tabla3[[#This Row],[Saldo28]]</f>
        <v>-3.312798499280234E-3</v>
      </c>
      <c r="AK112" s="122">
        <f>SUM('Dic 25'!L109)</f>
        <v>345.82293174192858</v>
      </c>
      <c r="AL112" s="108">
        <f>SUM('Pago Cuota MC 2025'!Q109)</f>
        <v>345.83</v>
      </c>
      <c r="AM112" s="145">
        <f>SUM(-AK112,AL112)+Tabla3[[#This Row],[Saldo31]]</f>
        <v>3.7554595721189798E-3</v>
      </c>
      <c r="AN112" s="128">
        <f t="shared" si="7"/>
        <v>3.7554595721189798E-3</v>
      </c>
      <c r="AO112" s="29"/>
      <c r="AP112" s="106" t="s">
        <v>12</v>
      </c>
    </row>
    <row r="113" spans="1:43" ht="16.149999999999999" thickBot="1" x14ac:dyDescent="0.5">
      <c r="A113" s="312"/>
      <c r="B113" s="16" t="s">
        <v>8</v>
      </c>
      <c r="C113" s="116">
        <v>204</v>
      </c>
      <c r="D113" s="118">
        <f>SUM('Ene 25'!L110)-('Pago Cuota MC 2024'!F110)</f>
        <v>330.27258351197594</v>
      </c>
      <c r="E113" s="108">
        <f>SUM('Pago Cuota MC 2025'!F110)</f>
        <v>330.27</v>
      </c>
      <c r="F113" s="119">
        <f t="shared" si="6"/>
        <v>-2.5835119759562986E-3</v>
      </c>
      <c r="G113" s="118">
        <f>SUM('Feb 25'!L110)</f>
        <v>414.37415819567082</v>
      </c>
      <c r="H113" s="108">
        <f>SUM('Pago Cuota MC 2025'!G110)</f>
        <v>0</v>
      </c>
      <c r="I113" s="119">
        <f>SUM(-G113,H113)+Tabla3[[#This Row],[Saldo]]</f>
        <v>-414.37674170764677</v>
      </c>
      <c r="J113" s="118">
        <f>SUM('Mar 25'!L110)</f>
        <v>407.75787083424206</v>
      </c>
      <c r="K113" s="108">
        <f>SUM('Pago Cuota MC 2025'!H110)</f>
        <v>0</v>
      </c>
      <c r="L113" s="119">
        <f>SUM(-J113,K113)+Tabla3[[#This Row],[Saldo4]]</f>
        <v>-822.13461254188883</v>
      </c>
      <c r="M113" s="122">
        <f>SUM('Abr 25'!L110)</f>
        <v>420.96966532496594</v>
      </c>
      <c r="N113" s="108">
        <f>SUM('Pago Cuota MC 2025'!I110)</f>
        <v>0</v>
      </c>
      <c r="O113" s="119">
        <f>SUM(-M113,N113)+Tabla3[[#This Row],[Saldo7]]</f>
        <v>-1243.1042778668548</v>
      </c>
      <c r="P113" s="122">
        <f>SUM('May 25'!L110)</f>
        <v>396.19398460317461</v>
      </c>
      <c r="Q113" s="108">
        <f>SUM('Pago Cuota MC 2025'!J110)</f>
        <v>1639.3</v>
      </c>
      <c r="R113" s="119">
        <f>SUM(-P113,Q113)+Tabla3[[#This Row],[Saldo13]]</f>
        <v>1.737529970569085E-3</v>
      </c>
      <c r="S113" s="122">
        <f>SUM('Jun 25'!L110)</f>
        <v>376.42130030975437</v>
      </c>
      <c r="T113" s="108">
        <f>SUM('Pago Cuota MC 2025'!K110)</f>
        <v>0</v>
      </c>
      <c r="U113" s="119">
        <f>SUM(-S113,T113)+Tabla3[[#This Row],[Saldo132]]</f>
        <v>-376.4195627797838</v>
      </c>
      <c r="V113" s="122">
        <f>SUM('Jul 25'!L110)</f>
        <v>384.06328230339363</v>
      </c>
      <c r="W113" s="108">
        <f>SUM('Pago Cuota MC 2025'!L110)</f>
        <v>760.48</v>
      </c>
      <c r="X113" s="119">
        <f>SUM(-V113,W113)+Tabla3[[#This Row],[Saldo16]]</f>
        <v>-2.845083177419383E-3</v>
      </c>
      <c r="Y113" s="122">
        <f>SUM('Ago 25'!L110)</f>
        <v>369.24432762910129</v>
      </c>
      <c r="Z113" s="108">
        <f>SUM('Pago Cuota MC 2025'!M110)</f>
        <v>369.25</v>
      </c>
      <c r="AA113" s="119">
        <f>SUM(-Y113,Z113)+Tabla3[[#This Row],[Saldo19]]</f>
        <v>2.827287721288485E-3</v>
      </c>
      <c r="AB113" s="122">
        <f>SUM('Sep 25'!L110)</f>
        <v>372.23830359621451</v>
      </c>
      <c r="AC113" s="108">
        <f>SUM('Pago Cuota MC 2025'!N110)</f>
        <v>372.24</v>
      </c>
      <c r="AD113" s="119">
        <f>SUM(-AB113,AC113)+Tabla3[[#This Row],[Saldo22]]</f>
        <v>4.5236915067903283E-3</v>
      </c>
      <c r="AE113" s="122">
        <f>SUM('Oct 25'!L110)</f>
        <v>368.41539174125359</v>
      </c>
      <c r="AF113" s="108">
        <f>SUM('Pago Cuota MC 2025'!O110)</f>
        <v>368.41</v>
      </c>
      <c r="AG113" s="145">
        <f>SUM(-AE113,AF113)+Tabla3[[#This Row],[Saldo25]]</f>
        <v>-8.6804974677079372E-4</v>
      </c>
      <c r="AH113" s="122">
        <f>SUM('Nov 25'!L110)</f>
        <v>414.15069571628817</v>
      </c>
      <c r="AI113" s="108">
        <f>SUM('Pago Cuota MC 2025'!P110)</f>
        <v>414.15</v>
      </c>
      <c r="AJ113" s="119">
        <f>SUM(-AH113,AI113)+Tabla3[[#This Row],[Saldo28]]</f>
        <v>-1.5637660349625548E-3</v>
      </c>
      <c r="AK113" s="122">
        <f>SUM('Dic 25'!L110)</f>
        <v>397.70436939744422</v>
      </c>
      <c r="AL113" s="108">
        <f>SUM('Pago Cuota MC 2025'!Q110)</f>
        <v>0</v>
      </c>
      <c r="AM113" s="145">
        <f>SUM(-AK113,AL113)+Tabla3[[#This Row],[Saldo31]]</f>
        <v>-397.70593316347919</v>
      </c>
      <c r="AN113" s="128">
        <f t="shared" si="7"/>
        <v>-397.70593316347919</v>
      </c>
      <c r="AO113" s="29"/>
      <c r="AP113" s="106">
        <f>SUM(Tabla3[[#This Row],[Saldo Anual]])</f>
        <v>-397.70593316347919</v>
      </c>
    </row>
    <row r="114" spans="1:43" ht="16.149999999999999" thickBot="1" x14ac:dyDescent="0.5">
      <c r="A114" s="312"/>
      <c r="B114" s="16" t="s">
        <v>8</v>
      </c>
      <c r="C114" s="116">
        <v>301</v>
      </c>
      <c r="D114" s="118">
        <f>SUM('Ene 25'!L111)-('Pago Cuota MC 2024'!F111)</f>
        <v>333.05668747728276</v>
      </c>
      <c r="E114" s="108">
        <f>SUM('Pago Cuota MC 2025'!F111)</f>
        <v>333.06</v>
      </c>
      <c r="F114" s="119">
        <f t="shared" si="6"/>
        <v>3.3125227172376981E-3</v>
      </c>
      <c r="G114" s="118">
        <f>SUM('Feb 25'!L111)</f>
        <v>370.80812017231563</v>
      </c>
      <c r="H114" s="108">
        <f>SUM('Pago Cuota MC 2025'!G111)</f>
        <v>370.8</v>
      </c>
      <c r="I114" s="119">
        <f>SUM(-G114,H114)+Tabla3[[#This Row],[Saldo]]</f>
        <v>-4.8076495983764289E-3</v>
      </c>
      <c r="J114" s="118">
        <f>SUM('Mar 25'!L111)</f>
        <v>368.10583146673929</v>
      </c>
      <c r="K114" s="108">
        <f>SUM('Pago Cuota MC 2025'!H111)</f>
        <v>368.2</v>
      </c>
      <c r="L114" s="119">
        <f>SUM(-J114,K114)+Tabla3[[#This Row],[Saldo4]]</f>
        <v>8.9360883662322976E-2</v>
      </c>
      <c r="M114" s="122">
        <f>SUM('Abr 25'!L111)</f>
        <v>361.16099816209379</v>
      </c>
      <c r="N114" s="108">
        <f>SUM('Pago Cuota MC 2025'!I111)</f>
        <v>361.7</v>
      </c>
      <c r="O114" s="119">
        <f>SUM(-M114,N114)+Tabla3[[#This Row],[Saldo7]]</f>
        <v>0.62836272156852147</v>
      </c>
      <c r="P114" s="122">
        <f>SUM('May 25'!L111)</f>
        <v>391.51057269841272</v>
      </c>
      <c r="Q114" s="108">
        <f>SUM('Pago Cuota MC 2025'!J111)</f>
        <v>390.88</v>
      </c>
      <c r="R114" s="119">
        <f>SUM(-P114,Q114)+Tabla3[[#This Row],[Saldo13]]</f>
        <v>-2.2099768441989909E-3</v>
      </c>
      <c r="S114" s="122">
        <f>SUM('Jun 25'!L111)</f>
        <v>371.00598753406848</v>
      </c>
      <c r="T114" s="108">
        <f>SUM('Pago Cuota MC 2025'!K111)</f>
        <v>371.01</v>
      </c>
      <c r="U114" s="119">
        <f>SUM(-S114,T114)+Tabla3[[#This Row],[Saldo132]]</f>
        <v>1.8024890873107324E-3</v>
      </c>
      <c r="V114" s="122">
        <f>SUM('Jul 25'!L111)</f>
        <v>355.88567600949079</v>
      </c>
      <c r="W114" s="108">
        <f>SUM('Pago Cuota MC 2025'!L111)</f>
        <v>355.88</v>
      </c>
      <c r="X114" s="119">
        <f>SUM(-V114,W114)+Tabla3[[#This Row],[Saldo16]]</f>
        <v>-3.8735204034878734E-3</v>
      </c>
      <c r="Y114" s="122">
        <f>SUM('Ago 25'!L111)</f>
        <v>376.93957259343796</v>
      </c>
      <c r="Z114" s="108">
        <f>SUM('Pago Cuota MC 2025'!M111)</f>
        <v>376.94</v>
      </c>
      <c r="AA114" s="119">
        <f>SUM(-Y114,Z114)+Tabla3[[#This Row],[Saldo19]]</f>
        <v>-3.4461138414485504E-3</v>
      </c>
      <c r="AB114" s="122">
        <f>SUM('Sep 25'!L111)</f>
        <v>370.95272883280757</v>
      </c>
      <c r="AC114" s="108">
        <f>SUM('Pago Cuota MC 2025'!N111)</f>
        <v>371</v>
      </c>
      <c r="AD114" s="119">
        <f>SUM(-AB114,AC114)+Tabla3[[#This Row],[Saldo22]]</f>
        <v>4.3825053350985854E-2</v>
      </c>
      <c r="AE114" s="122">
        <f>SUM('Oct 25'!L111)</f>
        <v>367.13557157268042</v>
      </c>
      <c r="AF114" s="108">
        <f>SUM('Pago Cuota MC 2025'!O111)</f>
        <v>367.09</v>
      </c>
      <c r="AG114" s="145">
        <f>SUM(-AE114,AF114)+Tabla3[[#This Row],[Saldo25]]</f>
        <v>-1.7465193294583514E-3</v>
      </c>
      <c r="AH114" s="122">
        <f>SUM('Nov 25'!L111)</f>
        <v>389.72948057751614</v>
      </c>
      <c r="AI114" s="108">
        <f>SUM('Pago Cuota MC 2025'!P111)</f>
        <v>389.73</v>
      </c>
      <c r="AJ114" s="119">
        <f>SUM(-AH114,AI114)+Tabla3[[#This Row],[Saldo28]]</f>
        <v>-1.2270968455823095E-3</v>
      </c>
      <c r="AK114" s="122">
        <f>SUM('Dic 25'!L111)</f>
        <v>366.10778778284646</v>
      </c>
      <c r="AL114" s="108">
        <f>SUM('Pago Cuota MC 2025'!Q111)</f>
        <v>366.11</v>
      </c>
      <c r="AM114" s="145">
        <f>SUM(-AK114,AL114)+Tabla3[[#This Row],[Saldo31]]</f>
        <v>9.8512030797337502E-4</v>
      </c>
      <c r="AN114" s="128">
        <f t="shared" si="7"/>
        <v>9.8512030797337502E-4</v>
      </c>
      <c r="AO114" s="29"/>
      <c r="AP114" s="106" t="s">
        <v>12</v>
      </c>
    </row>
    <row r="115" spans="1:43" ht="16.149999999999999" thickBot="1" x14ac:dyDescent="0.5">
      <c r="A115" s="312"/>
      <c r="B115" s="16" t="s">
        <v>8</v>
      </c>
      <c r="C115" s="116">
        <v>302</v>
      </c>
      <c r="D115" s="118">
        <f>SUM('Ene 25'!L112)-('Pago Cuota MC 2024'!F112)</f>
        <v>327.36287051607951</v>
      </c>
      <c r="E115" s="108">
        <f>SUM('Pago Cuota MC 2025'!F112)</f>
        <v>0</v>
      </c>
      <c r="F115" s="119">
        <f t="shared" si="6"/>
        <v>-327.36287051607951</v>
      </c>
      <c r="G115" s="118">
        <f>SUM('Feb 25'!L112)</f>
        <v>358.72881926089434</v>
      </c>
      <c r="H115" s="108">
        <f>SUM('Pago Cuota MC 2025'!G112)</f>
        <v>686.09</v>
      </c>
      <c r="I115" s="119">
        <f>SUM(-G115,H115)+Tabla3[[#This Row],[Saldo]]</f>
        <v>-1.6897769738193347E-3</v>
      </c>
      <c r="J115" s="118">
        <f>SUM('Mar 25'!L112)</f>
        <v>357.19935665757902</v>
      </c>
      <c r="K115" s="108">
        <f>SUM('Pago Cuota MC 2025'!H112)</f>
        <v>357.2</v>
      </c>
      <c r="L115" s="119">
        <f>SUM(-J115,K115)+Tabla3[[#This Row],[Saldo4]]</f>
        <v>-1.046434552847586E-3</v>
      </c>
      <c r="M115" s="122">
        <f>SUM('Abr 25'!L112)</f>
        <v>349.79149588538621</v>
      </c>
      <c r="N115" s="108">
        <f>SUM('Pago Cuota MC 2025'!I112)</f>
        <v>500</v>
      </c>
      <c r="O115" s="119">
        <f>SUM(-M115,N115)+Tabla3[[#This Row],[Saldo7]]</f>
        <v>150.20745768006094</v>
      </c>
      <c r="P115" s="122">
        <f>SUM('May 25'!L112)</f>
        <v>368.10997507936509</v>
      </c>
      <c r="Q115" s="108">
        <f>SUM('Pago Cuota MC 2025'!J112)</f>
        <v>217.9</v>
      </c>
      <c r="R115" s="119">
        <f>SUM(-P115,Q115)+Tabla3[[#This Row],[Saldo13]]</f>
        <v>-2.5173993041391896E-3</v>
      </c>
      <c r="S115" s="122">
        <f>SUM('Jun 25'!L112)</f>
        <v>361.49056596333156</v>
      </c>
      <c r="T115" s="108">
        <f>SUM('Pago Cuota MC 2025'!K112)</f>
        <v>361.49</v>
      </c>
      <c r="U115" s="119">
        <f>SUM(-S115,T115)+Tabla3[[#This Row],[Saldo132]]</f>
        <v>-3.0833626356923105E-3</v>
      </c>
      <c r="V115" s="122">
        <f>SUM('Jul 25'!L112)</f>
        <v>356.31296580999657</v>
      </c>
      <c r="W115" s="108">
        <f>SUM('Pago Cuota MC 2025'!L112)</f>
        <v>400</v>
      </c>
      <c r="X115" s="119">
        <f>SUM(-V115,W115)+Tabla3[[#This Row],[Saldo16]]</f>
        <v>43.683950827367738</v>
      </c>
      <c r="Y115" s="122">
        <f>SUM('Ago 25'!L112)</f>
        <v>356.02790081027103</v>
      </c>
      <c r="Z115" s="108">
        <f>SUM('Pago Cuota MC 2025'!M112)</f>
        <v>300</v>
      </c>
      <c r="AA115" s="119">
        <f>SUM(-Y115,Z115)+Tabla3[[#This Row],[Saldo19]]</f>
        <v>-12.343949982903297</v>
      </c>
      <c r="AB115" s="122">
        <f>SUM('Sep 25'!L112)</f>
        <v>352.01477552050471</v>
      </c>
      <c r="AC115" s="108">
        <f>SUM('Pago Cuota MC 2025'!N112)</f>
        <v>500</v>
      </c>
      <c r="AD115" s="119">
        <f>SUM(-AB115,AC115)+Tabla3[[#This Row],[Saldo22]]</f>
        <v>135.64127449659199</v>
      </c>
      <c r="AE115" s="122">
        <f>SUM('Oct 25'!L112)</f>
        <v>348.28238987490801</v>
      </c>
      <c r="AF115" s="108">
        <f>SUM('Pago Cuota MC 2025'!O112)</f>
        <v>0</v>
      </c>
      <c r="AG115" s="145">
        <f>SUM(-AE115,AF115)+Tabla3[[#This Row],[Saldo25]]</f>
        <v>-212.64111537831602</v>
      </c>
      <c r="AH115" s="122">
        <f>SUM('Nov 25'!L112)</f>
        <v>359.68328789458928</v>
      </c>
      <c r="AI115" s="108">
        <f>SUM('Pago Cuota MC 2025'!P112)</f>
        <v>0</v>
      </c>
      <c r="AJ115" s="119">
        <f>SUM(-AH115,AI115)+Tabla3[[#This Row],[Saldo28]]</f>
        <v>-572.32440327290533</v>
      </c>
      <c r="AK115" s="122">
        <f>SUM('Dic 25'!L112)</f>
        <v>360.63665435735572</v>
      </c>
      <c r="AL115" s="108">
        <f>SUM('Pago Cuota MC 2025'!Q112)</f>
        <v>0</v>
      </c>
      <c r="AM115" s="145">
        <f>SUM(-AK115,AL115)+Tabla3[[#This Row],[Saldo31]]</f>
        <v>-932.96105763026105</v>
      </c>
      <c r="AN115" s="128">
        <f t="shared" si="7"/>
        <v>-932.96105763026105</v>
      </c>
      <c r="AO115" s="29"/>
      <c r="AP115" s="106">
        <f>SUM(Tabla3[[#This Row],[Saldo Anual]])</f>
        <v>-932.96105763026105</v>
      </c>
    </row>
    <row r="116" spans="1:43" ht="16.149999999999999" thickBot="1" x14ac:dyDescent="0.5">
      <c r="A116" s="312"/>
      <c r="B116" s="16" t="s">
        <v>8</v>
      </c>
      <c r="C116" s="116">
        <v>303</v>
      </c>
      <c r="D116" s="118">
        <f>SUM('Ene 25'!L113)-('Pago Cuota MC 2024'!F113)</f>
        <v>348.74385637174817</v>
      </c>
      <c r="E116" s="108">
        <f>SUM('Pago Cuota MC 2025'!F113)</f>
        <v>348.74</v>
      </c>
      <c r="F116" s="119">
        <f t="shared" si="6"/>
        <v>-3.8563717481565618E-3</v>
      </c>
      <c r="G116" s="118">
        <f>SUM('Feb 25'!L113)</f>
        <v>426.1093417616064</v>
      </c>
      <c r="H116" s="108">
        <f>SUM('Pago Cuota MC 2025'!G113)</f>
        <v>426.11</v>
      </c>
      <c r="I116" s="119">
        <f>SUM(-G116,H116)+Tabla3[[#This Row],[Saldo]]</f>
        <v>-3.1981333545445523E-3</v>
      </c>
      <c r="J116" s="118">
        <f>SUM('Mar 25'!L113)</f>
        <v>432.56498615594325</v>
      </c>
      <c r="K116" s="108">
        <f>SUM('Pago Cuota MC 2025'!H113)</f>
        <v>432.57</v>
      </c>
      <c r="L116" s="119">
        <f>SUM(-J116,K116)+Tabla3[[#This Row],[Saldo4]]</f>
        <v>1.8157107022034324E-3</v>
      </c>
      <c r="M116" s="122">
        <f>SUM('Abr 25'!L113)</f>
        <v>426.10460362035417</v>
      </c>
      <c r="N116" s="108">
        <f>SUM('Pago Cuota MC 2025'!I113)</f>
        <v>426.1</v>
      </c>
      <c r="O116" s="119">
        <f>SUM(-M116,N116)+Tabla3[[#This Row],[Saldo7]]</f>
        <v>-2.7879096519427549E-3</v>
      </c>
      <c r="P116" s="122">
        <f>SUM('May 25'!L113)</f>
        <v>417.47511198412701</v>
      </c>
      <c r="Q116" s="108">
        <f>SUM('Pago Cuota MC 2025'!J113)</f>
        <v>417.48</v>
      </c>
      <c r="R116" s="119">
        <f>SUM(-P116,Q116)+Tabla3[[#This Row],[Saldo13]]</f>
        <v>2.1001062210643795E-3</v>
      </c>
      <c r="S116" s="122">
        <f>SUM('Jun 25'!L113)</f>
        <v>445.01790310695719</v>
      </c>
      <c r="T116" s="108">
        <f>SUM('Pago Cuota MC 2025'!K113)</f>
        <v>445.02</v>
      </c>
      <c r="U116" s="119">
        <f>SUM(-S116,T116)+Tabla3[[#This Row],[Saldo132]]</f>
        <v>4.1969992638541953E-3</v>
      </c>
      <c r="V116" s="122">
        <f>SUM('Jul 25'!L113)</f>
        <v>449.47782267990385</v>
      </c>
      <c r="W116" s="108">
        <f>SUM('Pago Cuota MC 2025'!L113)</f>
        <v>449.47</v>
      </c>
      <c r="X116" s="119">
        <f>SUM(-V116,W116)+Tabla3[[#This Row],[Saldo16]]</f>
        <v>-3.6256806399705965E-3</v>
      </c>
      <c r="Y116" s="122">
        <f>SUM('Ago 25'!L113)</f>
        <v>446.55651433380888</v>
      </c>
      <c r="Z116" s="108">
        <f>SUM('Pago Cuota MC 2025'!M113)</f>
        <v>446.56</v>
      </c>
      <c r="AA116" s="119">
        <f>SUM(-Y116,Z116)+Tabla3[[#This Row],[Saldo19]]</f>
        <v>-1.4001444884570446E-4</v>
      </c>
      <c r="AB116" s="122">
        <f>SUM('Sep 25'!L113)</f>
        <v>466.55909854889592</v>
      </c>
      <c r="AC116" s="108">
        <f>SUM('Pago Cuota MC 2025'!N113)</f>
        <v>466.56</v>
      </c>
      <c r="AD116" s="119">
        <f>SUM(-AB116,AC116)+Tabla3[[#This Row],[Saldo22]]</f>
        <v>7.6143665523886739E-4</v>
      </c>
      <c r="AE116" s="122">
        <f>SUM('Oct 25'!L113)</f>
        <v>462.31398024215662</v>
      </c>
      <c r="AF116" s="108">
        <f>SUM('Pago Cuota MC 2025'!O113)</f>
        <v>462.31</v>
      </c>
      <c r="AG116" s="145">
        <f>SUM(-AE116,AF116)+Tabla3[[#This Row],[Saldo25]]</f>
        <v>-3.2188055013762096E-3</v>
      </c>
      <c r="AH116" s="122">
        <f>SUM('Nov 25'!L113)</f>
        <v>348.53654340342024</v>
      </c>
      <c r="AI116" s="108">
        <f>SUM('Pago Cuota MC 2025'!P113)</f>
        <v>348.54</v>
      </c>
      <c r="AJ116" s="119">
        <f>SUM(-AH116,AI116)+Tabla3[[#This Row],[Saldo28]]</f>
        <v>2.3779107840482538E-4</v>
      </c>
      <c r="AK116" s="122">
        <f>SUM('Dic 25'!L113)</f>
        <v>458.19733962138667</v>
      </c>
      <c r="AL116" s="108">
        <f>SUM('Pago Cuota MC 2025'!Q113)</f>
        <v>458.2</v>
      </c>
      <c r="AM116" s="145">
        <f>SUM(-AK116,AL116)+Tabla3[[#This Row],[Saldo31]]</f>
        <v>2.8981696917185218E-3</v>
      </c>
      <c r="AN116" s="128">
        <f t="shared" si="7"/>
        <v>2.8981696917185218E-3</v>
      </c>
      <c r="AO116" s="29"/>
      <c r="AP116" s="106" t="s">
        <v>12</v>
      </c>
    </row>
    <row r="117" spans="1:43" ht="16.149999999999999" thickBot="1" x14ac:dyDescent="0.5">
      <c r="A117" s="312"/>
      <c r="B117" s="16" t="s">
        <v>8</v>
      </c>
      <c r="C117" s="116">
        <v>304</v>
      </c>
      <c r="D117" s="118">
        <f>SUM('Ene 25'!L114)-('Pago Cuota MC 2024'!F114)</f>
        <v>327.52259198987053</v>
      </c>
      <c r="E117" s="108">
        <f>SUM('Pago Cuota MC 2025'!F114)</f>
        <v>0</v>
      </c>
      <c r="F117" s="119">
        <f t="shared" si="6"/>
        <v>-327.52259198987053</v>
      </c>
      <c r="G117" s="118">
        <f>SUM('Feb 25'!L114)</f>
        <v>367.11276913272576</v>
      </c>
      <c r="H117" s="108">
        <f>SUM('Pago Cuota MC 2025'!G114)</f>
        <v>694.64</v>
      </c>
      <c r="I117" s="119">
        <f>SUM(-G117,H117)+Tabla3[[#This Row],[Saldo]]</f>
        <v>4.6388774036927316E-3</v>
      </c>
      <c r="J117" s="118">
        <f>SUM('Mar 25'!L114)</f>
        <v>378.20966527262806</v>
      </c>
      <c r="K117" s="108">
        <f>SUM('Pago Cuota MC 2025'!H114)</f>
        <v>350</v>
      </c>
      <c r="L117" s="119">
        <f>SUM(-J117,K117)+Tabla3[[#This Row],[Saldo4]]</f>
        <v>-28.205026395224365</v>
      </c>
      <c r="M117" s="122">
        <f>SUM('Abr 25'!L114)</f>
        <v>351.42616681358237</v>
      </c>
      <c r="N117" s="108">
        <f>SUM('Pago Cuota MC 2025'!I114)</f>
        <v>379.63</v>
      </c>
      <c r="O117" s="119">
        <f>SUM(-M117,N117)+Tabla3[[#This Row],[Saldo7]]</f>
        <v>-1.1932088067396762E-3</v>
      </c>
      <c r="P117" s="122">
        <f>SUM('May 25'!L114)</f>
        <v>379.84319769841272</v>
      </c>
      <c r="Q117" s="108">
        <f>SUM('Pago Cuota MC 2025'!J114)</f>
        <v>379.84</v>
      </c>
      <c r="R117" s="119">
        <f>SUM(-P117,Q117)+Tabla3[[#This Row],[Saldo13]]</f>
        <v>-4.3909072194878718E-3</v>
      </c>
      <c r="S117" s="122">
        <f>SUM('Jun 25'!L114)</f>
        <v>361.79955966962524</v>
      </c>
      <c r="T117" s="108">
        <f>SUM('Pago Cuota MC 2025'!K114)</f>
        <v>0</v>
      </c>
      <c r="U117" s="119">
        <f>SUM(-S117,T117)+Tabla3[[#This Row],[Saldo132]]</f>
        <v>-361.80395057684473</v>
      </c>
      <c r="V117" s="122">
        <f>SUM('Jul 25'!L114)</f>
        <v>367.41074035340768</v>
      </c>
      <c r="W117" s="108">
        <f>SUM('Pago Cuota MC 2025'!L114)</f>
        <v>729.21</v>
      </c>
      <c r="X117" s="119">
        <f>SUM(-V117,W117)+Tabla3[[#This Row],[Saldo16]]</f>
        <v>-4.690930252365888E-3</v>
      </c>
      <c r="Y117" s="122">
        <f>SUM('Ago 25'!L114)</f>
        <v>365.52965145221117</v>
      </c>
      <c r="Z117" s="108">
        <f>SUM('Pago Cuota MC 2025'!M114)</f>
        <v>350</v>
      </c>
      <c r="AA117" s="119">
        <f>SUM(-Y117,Z117)+Tabla3[[#This Row],[Saldo19]]</f>
        <v>-15.534342382463535</v>
      </c>
      <c r="AB117" s="122">
        <f>SUM('Sep 25'!L114)</f>
        <v>390.62474145110411</v>
      </c>
      <c r="AC117" s="108">
        <f>SUM('Pago Cuota MC 2025'!N114)</f>
        <v>406.16</v>
      </c>
      <c r="AD117" s="119">
        <f>SUM(-AB117,AC117)+Tabla3[[#This Row],[Saldo22]]</f>
        <v>9.1616643237557582E-4</v>
      </c>
      <c r="AE117" s="122">
        <f>SUM('Oct 25'!L114)</f>
        <v>386.71952672018193</v>
      </c>
      <c r="AF117" s="108">
        <f>SUM('Pago Cuota MC 2025'!O114)</f>
        <v>350</v>
      </c>
      <c r="AG117" s="145">
        <f>SUM(-AE117,AF117)+Tabla3[[#This Row],[Saldo25]]</f>
        <v>-36.718610553749556</v>
      </c>
      <c r="AH117" s="122">
        <f>SUM('Nov 25'!L114)</f>
        <v>367.99968024109893</v>
      </c>
      <c r="AI117" s="108">
        <f>SUM('Pago Cuota MC 2025'!P114)</f>
        <v>404.72</v>
      </c>
      <c r="AJ117" s="119">
        <f>SUM(-AH117,AI117)+Tabla3[[#This Row],[Saldo28]]</f>
        <v>1.7092051515419371E-3</v>
      </c>
      <c r="AK117" s="122">
        <f>SUM('Dic 25'!L114)</f>
        <v>364.16223387076462</v>
      </c>
      <c r="AL117" s="108">
        <f>SUM('Pago Cuota MC 2025'!Q114)</f>
        <v>350</v>
      </c>
      <c r="AM117" s="145">
        <f>SUM(-AK117,AL117)+Tabla3[[#This Row],[Saldo31]]</f>
        <v>-14.160524665613082</v>
      </c>
      <c r="AN117" s="128">
        <f t="shared" si="7"/>
        <v>-14.160524665613082</v>
      </c>
      <c r="AO117" s="29"/>
      <c r="AP117" s="106">
        <f>SUM(Tabla3[[#This Row],[Saldo Anual]])</f>
        <v>-14.160524665613082</v>
      </c>
    </row>
    <row r="118" spans="1:43" ht="16.149999999999999" thickBot="1" x14ac:dyDescent="0.5">
      <c r="A118" s="312"/>
      <c r="B118" s="16" t="s">
        <v>8</v>
      </c>
      <c r="C118" s="116">
        <v>401</v>
      </c>
      <c r="D118" s="118">
        <f>SUM('Ene 25'!L115)-('Pago Cuota MC 2024'!F115)</f>
        <v>331.46929586624145</v>
      </c>
      <c r="E118" s="108">
        <f>SUM('Pago Cuota MC 2025'!F115)</f>
        <v>231.47</v>
      </c>
      <c r="F118" s="119">
        <f t="shared" si="6"/>
        <v>-99.999295866241454</v>
      </c>
      <c r="G118" s="118">
        <f>SUM('Feb 25'!L115)</f>
        <v>371.88739730133869</v>
      </c>
      <c r="H118" s="108">
        <f>SUM('Pago Cuota MC 2025'!G115)</f>
        <v>371.89</v>
      </c>
      <c r="I118" s="119">
        <f>SUM(-G118,H118)+Tabla3[[#This Row],[Saldo]]</f>
        <v>-99.996693167580162</v>
      </c>
      <c r="J118" s="118">
        <f>SUM('Mar 25'!L115)</f>
        <v>377.28111979825513</v>
      </c>
      <c r="K118" s="108">
        <f>SUM('Pago Cuota MC 2025'!H115)</f>
        <v>377.27</v>
      </c>
      <c r="L118" s="119">
        <f>SUM(-J118,K118)+Tabla3[[#This Row],[Saldo4]]</f>
        <v>-100.00781296583531</v>
      </c>
      <c r="M118" s="122">
        <f>SUM('Abr 25'!L115)</f>
        <v>369.56206815625603</v>
      </c>
      <c r="N118" s="108">
        <f>SUM('Pago Cuota MC 2025'!I115)</f>
        <v>469.57</v>
      </c>
      <c r="O118" s="119">
        <f>SUM(-M118,N118)+Tabla3[[#This Row],[Saldo7]]</f>
        <v>1.1887790864761882E-4</v>
      </c>
      <c r="P118" s="122">
        <f>SUM('May 25'!L115)</f>
        <v>382.24252031746033</v>
      </c>
      <c r="Q118" s="108">
        <f>SUM('Pago Cuota MC 2025'!J115)</f>
        <v>382.24</v>
      </c>
      <c r="R118" s="119">
        <f>SUM(-P118,Q118)+Tabla3[[#This Row],[Saldo13]]</f>
        <v>-2.4014395516758213E-3</v>
      </c>
      <c r="S118" s="122">
        <f>SUM('Jun 25'!L115)</f>
        <v>377.81177198807603</v>
      </c>
      <c r="T118" s="108">
        <f>SUM('Pago Cuota MC 2025'!K115)</f>
        <v>377.81</v>
      </c>
      <c r="U118" s="119">
        <f>SUM(-S118,T118)+Tabla3[[#This Row],[Saldo132]]</f>
        <v>-4.1734276277054505E-3</v>
      </c>
      <c r="V118" s="122">
        <f>SUM('Jul 25'!L115)</f>
        <v>379.55909899347512</v>
      </c>
      <c r="W118" s="108">
        <f>SUM('Pago Cuota MC 2025'!L115)</f>
        <v>379.56</v>
      </c>
      <c r="X118" s="119">
        <f>SUM(-V118,W118)+Tabla3[[#This Row],[Saldo16]]</f>
        <v>-3.2724211028209993E-3</v>
      </c>
      <c r="Y118" s="122">
        <f>SUM('Ago 25'!L115)</f>
        <v>365.31850143794583</v>
      </c>
      <c r="Z118" s="108">
        <f>SUM('Pago Cuota MC 2025'!M115)</f>
        <v>365.32</v>
      </c>
      <c r="AA118" s="119">
        <f>SUM(-Y118,Z118)+Tabla3[[#This Row],[Saldo19]]</f>
        <v>-1.7738590486544581E-3</v>
      </c>
      <c r="AB118" s="122">
        <f>SUM('Sep 25'!L115)</f>
        <v>378.68559697160879</v>
      </c>
      <c r="AC118" s="108">
        <f>SUM('Pago Cuota MC 2025'!N115)</f>
        <v>378.69</v>
      </c>
      <c r="AD118" s="119">
        <f>SUM(-AB118,AC118)+Tabla3[[#This Row],[Saldo22]]</f>
        <v>2.6291693425548601E-3</v>
      </c>
      <c r="AE118" s="122">
        <f>SUM('Oct 25'!L115)</f>
        <v>374.83382521506451</v>
      </c>
      <c r="AF118" s="108">
        <f>SUM('Pago Cuota MC 2025'!O115)</f>
        <v>374.83</v>
      </c>
      <c r="AG118" s="145">
        <f>SUM(-AE118,AF118)+Tabla3[[#This Row],[Saldo25]]</f>
        <v>-1.1960457219686305E-3</v>
      </c>
      <c r="AH118" s="122">
        <f>SUM('Nov 25'!L115)</f>
        <v>377.40772313428647</v>
      </c>
      <c r="AI118" s="108">
        <f>SUM('Pago Cuota MC 2025'!P115)</f>
        <v>377.41</v>
      </c>
      <c r="AJ118" s="119">
        <f>SUM(-AH118,AI118)+Tabla3[[#This Row],[Saldo28]]</f>
        <v>1.0808199915857131E-3</v>
      </c>
      <c r="AK118" s="122">
        <f>SUM('Dic 25'!L115)</f>
        <v>379.71094351964496</v>
      </c>
      <c r="AL118" s="108">
        <f>SUM('Pago Cuota MC 2025'!Q115)</f>
        <v>0</v>
      </c>
      <c r="AM118" s="145">
        <f>SUM(-AK118,AL118)+Tabla3[[#This Row],[Saldo31]]</f>
        <v>-379.7098626996534</v>
      </c>
      <c r="AN118" s="128">
        <f t="shared" si="7"/>
        <v>-379.7098626996534</v>
      </c>
      <c r="AO118" s="29"/>
      <c r="AP118" s="106">
        <f>SUM(Tabla3[[#This Row],[Saldo Anual]])</f>
        <v>-379.7098626996534</v>
      </c>
      <c r="AQ118" s="72" t="s">
        <v>12</v>
      </c>
    </row>
    <row r="119" spans="1:43" ht="16.149999999999999" thickBot="1" x14ac:dyDescent="0.5">
      <c r="A119" s="312"/>
      <c r="B119" s="16" t="s">
        <v>8</v>
      </c>
      <c r="C119" s="116">
        <v>402</v>
      </c>
      <c r="D119" s="118">
        <f>SUM('Ene 25'!L116)-('Pago Cuota MC 2024'!F116)</f>
        <v>313.36110666904659</v>
      </c>
      <c r="E119" s="108">
        <f>SUM('Pago Cuota MC 2025'!F116)</f>
        <v>313.36</v>
      </c>
      <c r="F119" s="119">
        <f t="shared" si="6"/>
        <v>-1.1066690465781903E-3</v>
      </c>
      <c r="G119" s="118">
        <f>SUM('Feb 25'!L116)</f>
        <v>322.80766090145261</v>
      </c>
      <c r="H119" s="108">
        <f>SUM('Pago Cuota MC 2025'!G116)</f>
        <v>322.81</v>
      </c>
      <c r="I119" s="119">
        <f>SUM(-G119,H119)+Tabla3[[#This Row],[Saldo]]</f>
        <v>1.2324295008170338E-3</v>
      </c>
      <c r="J119" s="118">
        <f>SUM('Mar 25'!L116)</f>
        <v>330.28727595965097</v>
      </c>
      <c r="K119" s="108">
        <f>SUM('Pago Cuota MC 2025'!H116)</f>
        <v>330.29</v>
      </c>
      <c r="L119" s="119">
        <f>SUM(-J119,K119)+Tabla3[[#This Row],[Saldo4]]</f>
        <v>3.9564698498679718E-3</v>
      </c>
      <c r="M119" s="122">
        <f>SUM('Abr 25'!L116)</f>
        <v>314.82905648083283</v>
      </c>
      <c r="N119" s="108">
        <f>SUM('Pago Cuota MC 2025'!I116)</f>
        <v>314.83</v>
      </c>
      <c r="O119" s="119">
        <f>SUM(-M119,N119)+Tabla3[[#This Row],[Saldo7]]</f>
        <v>4.8999890170193794E-3</v>
      </c>
      <c r="P119" s="122">
        <f>SUM('May 25'!L116)</f>
        <v>341.99727865079365</v>
      </c>
      <c r="Q119" s="108">
        <f>SUM('Pago Cuota MC 2025'!J116)</f>
        <v>341.99</v>
      </c>
      <c r="R119" s="119">
        <f>SUM(-P119,Q119)+Tabla3[[#This Row],[Saldo13]]</f>
        <v>-2.3786617766177187E-3</v>
      </c>
      <c r="S119" s="122">
        <f>SUM('Jun 25'!L116)</f>
        <v>329.59686943293889</v>
      </c>
      <c r="T119" s="108">
        <f>SUM('Pago Cuota MC 2025'!K116)</f>
        <v>329.6</v>
      </c>
      <c r="U119" s="119">
        <f>SUM(-S119,T119)+Tabla3[[#This Row],[Saldo132]]</f>
        <v>7.5190528451685168E-4</v>
      </c>
      <c r="V119" s="122">
        <f>SUM('Jul 25'!L116)</f>
        <v>327.00637362117948</v>
      </c>
      <c r="W119" s="108">
        <f>SUM('Pago Cuota MC 2025'!L116)</f>
        <v>327.01</v>
      </c>
      <c r="X119" s="119">
        <f>SUM(-V119,W119)+Tabla3[[#This Row],[Saldo16]]</f>
        <v>4.3782841050301613E-3</v>
      </c>
      <c r="Y119" s="122">
        <f>SUM('Ago 25'!L116)</f>
        <v>323.17452266476459</v>
      </c>
      <c r="Z119" s="108">
        <f>SUM('Pago Cuota MC 2025'!M116)</f>
        <v>323.17</v>
      </c>
      <c r="AA119" s="119">
        <f>SUM(-Y119,Z119)+Tabla3[[#This Row],[Saldo19]]</f>
        <v>-1.4438065954891499E-4</v>
      </c>
      <c r="AB119" s="122">
        <f>SUM('Sep 25'!L116)</f>
        <v>322.01932567823343</v>
      </c>
      <c r="AC119" s="108">
        <f>SUM('Pago Cuota MC 2025'!N116)</f>
        <v>322.02</v>
      </c>
      <c r="AD119" s="119">
        <f>SUM(-AB119,AC119)+Tabla3[[#This Row],[Saldo22]]</f>
        <v>5.2994110700410602E-4</v>
      </c>
      <c r="AE119" s="122">
        <f>SUM('Oct 25'!L116)</f>
        <v>318.42120811693087</v>
      </c>
      <c r="AF119" s="108">
        <f>SUM('Pago Cuota MC 2025'!O116)</f>
        <v>318.42</v>
      </c>
      <c r="AG119" s="145">
        <f>SUM(-AE119,AF119)+Tabla3[[#This Row],[Saldo25]]</f>
        <v>-6.7817582385032438E-4</v>
      </c>
      <c r="AH119" s="122">
        <f>SUM('Nov 25'!L116)</f>
        <v>325.38561253714607</v>
      </c>
      <c r="AI119" s="108">
        <f>SUM('Pago Cuota MC 2025'!P116)</f>
        <v>325.39</v>
      </c>
      <c r="AJ119" s="119">
        <f>SUM(-AH119,AI119)+Tabla3[[#This Row],[Saldo28]]</f>
        <v>3.7092870300625691E-3</v>
      </c>
      <c r="AK119" s="122">
        <f>SUM('Dic 25'!L116)</f>
        <v>337.82847384864687</v>
      </c>
      <c r="AL119" s="108">
        <f>SUM('Pago Cuota MC 2025'!Q116)</f>
        <v>337.82</v>
      </c>
      <c r="AM119" s="145">
        <f>SUM(-AK119,AL119)+Tabla3[[#This Row],[Saldo31]]</f>
        <v>-4.7645616168097149E-3</v>
      </c>
      <c r="AN119" s="128">
        <f t="shared" si="7"/>
        <v>-4.7645616168097149E-3</v>
      </c>
      <c r="AO119" s="29"/>
      <c r="AP119" s="106" t="s">
        <v>12</v>
      </c>
      <c r="AQ119" t="s">
        <v>12</v>
      </c>
    </row>
    <row r="120" spans="1:43" ht="16.149999999999999" thickBot="1" x14ac:dyDescent="0.5">
      <c r="A120" s="312"/>
      <c r="B120" s="16" t="s">
        <v>8</v>
      </c>
      <c r="C120" s="116">
        <v>403</v>
      </c>
      <c r="D120" s="118">
        <f>SUM('Ene 25'!L117)-('Pago Cuota MC 2024'!F117)</f>
        <v>5.5816424433828615E-2</v>
      </c>
      <c r="E120" s="108">
        <f>SUM('Pago Cuota MC 2025'!F117)</f>
        <v>0</v>
      </c>
      <c r="F120" s="119">
        <f t="shared" si="6"/>
        <v>-5.5816424433828615E-2</v>
      </c>
      <c r="G120" s="118">
        <f>SUM('Feb 25'!L117)</f>
        <v>324.49696423383654</v>
      </c>
      <c r="H120" s="108">
        <f>SUM('Pago Cuota MC 2025'!G117)</f>
        <v>324.55</v>
      </c>
      <c r="I120" s="119">
        <f>SUM(-G120,H120)+Tabla3[[#This Row],[Saldo]]</f>
        <v>-2.7806582703533422E-3</v>
      </c>
      <c r="J120" s="118">
        <f>SUM('Mar 25'!L117)</f>
        <v>338.6284471701199</v>
      </c>
      <c r="K120" s="108">
        <f>SUM('Pago Cuota MC 2025'!H117)</f>
        <v>0</v>
      </c>
      <c r="L120" s="119">
        <f>SUM(-J120,K120)+Tabla3[[#This Row],[Saldo4]]</f>
        <v>-338.63122782839025</v>
      </c>
      <c r="M120" s="122">
        <f>SUM('Abr 25'!L117)</f>
        <v>318.88726938217548</v>
      </c>
      <c r="N120" s="108">
        <f>SUM('Pago Cuota MC 2025'!I117)</f>
        <v>657.52</v>
      </c>
      <c r="O120" s="119">
        <f>SUM(-M120,N120)+Tabla3[[#This Row],[Saldo7]]</f>
        <v>1.5027894342551917E-3</v>
      </c>
      <c r="P120" s="122">
        <f>SUM('May 25'!L117)</f>
        <v>338.17811674603172</v>
      </c>
      <c r="Q120" s="108">
        <f>SUM('Pago Cuota MC 2025'!J117)</f>
        <v>0</v>
      </c>
      <c r="R120" s="119">
        <f>SUM(-P120,Q120)+Tabla3[[#This Row],[Saldo13]]</f>
        <v>-338.17661395659746</v>
      </c>
      <c r="S120" s="122">
        <f>SUM('Jun 25'!L117)</f>
        <v>330.69815469383184</v>
      </c>
      <c r="T120" s="108">
        <f>SUM('Pago Cuota MC 2025'!K117)</f>
        <v>500</v>
      </c>
      <c r="U120" s="119">
        <f>SUM(-S120,T120)+Tabla3[[#This Row],[Saldo132]]</f>
        <v>-168.8747686504293</v>
      </c>
      <c r="V120" s="122">
        <f>SUM('Jul 25'!L117)</f>
        <v>326.25371635790327</v>
      </c>
      <c r="W120" s="108">
        <f>SUM('Pago Cuota MC 2025'!L117)</f>
        <v>0</v>
      </c>
      <c r="X120" s="119">
        <f>SUM(-V120,W120)+Tabla3[[#This Row],[Saldo16]]</f>
        <v>-495.12848500833258</v>
      </c>
      <c r="Y120" s="122">
        <f>SUM('Ago 25'!L117)</f>
        <v>324.72686628815978</v>
      </c>
      <c r="Z120" s="108">
        <f>SUM('Pago Cuota MC 2025'!M117)</f>
        <v>0</v>
      </c>
      <c r="AA120" s="119">
        <f>SUM(-Y120,Z120)+Tabla3[[#This Row],[Saldo19]]</f>
        <v>-819.85535129649236</v>
      </c>
      <c r="AB120" s="122">
        <f>SUM('Sep 25'!L117)</f>
        <v>337.3402846687697</v>
      </c>
      <c r="AC120" s="108">
        <f>SUM('Pago Cuota MC 2025'!N117)</f>
        <v>1157.2</v>
      </c>
      <c r="AD120" s="119">
        <f>SUM(-AB120,AC120)+Tabla3[[#This Row],[Saldo22]]</f>
        <v>4.364034737932343E-3</v>
      </c>
      <c r="AE120" s="122">
        <f>SUM('Oct 25'!L117)</f>
        <v>323.71834899591943</v>
      </c>
      <c r="AF120" s="108">
        <f>SUM('Pago Cuota MC 2025'!O117)</f>
        <v>0</v>
      </c>
      <c r="AG120" s="145">
        <f>SUM(-AE120,AF120)+Tabla3[[#This Row],[Saldo25]]</f>
        <v>-323.7139849611815</v>
      </c>
      <c r="AH120" s="122">
        <f>SUM('Nov 25'!L117)</f>
        <v>326.33038646481634</v>
      </c>
      <c r="AI120" s="108">
        <f>SUM('Pago Cuota MC 2025'!P117)</f>
        <v>0</v>
      </c>
      <c r="AJ120" s="119">
        <f>SUM(-AH120,AI120)+Tabla3[[#This Row],[Saldo28]]</f>
        <v>-650.04437142599784</v>
      </c>
      <c r="AK120" s="122">
        <f>SUM('Dic 25'!L117)</f>
        <v>341.68027755337454</v>
      </c>
      <c r="AL120" s="108">
        <f>SUM('Pago Cuota MC 2025'!Q117)</f>
        <v>0</v>
      </c>
      <c r="AM120" s="145">
        <f>SUM(-AK120,AL120)+Tabla3[[#This Row],[Saldo31]]</f>
        <v>-991.72464897937243</v>
      </c>
      <c r="AN120" s="128">
        <f t="shared" si="7"/>
        <v>-991.72464897937243</v>
      </c>
      <c r="AO120" s="29"/>
      <c r="AP120" s="106">
        <f>SUM(Tabla3[[#This Row],[Saldo Anual]])</f>
        <v>-991.72464897937243</v>
      </c>
    </row>
    <row r="121" spans="1:43" ht="16.149999999999999" thickBot="1" x14ac:dyDescent="0.5">
      <c r="A121" s="312"/>
      <c r="B121" s="16" t="s">
        <v>8</v>
      </c>
      <c r="C121" s="116">
        <v>404</v>
      </c>
      <c r="D121" s="118">
        <f>SUM('Ene 25'!L118)-('Pago Cuota MC 2024'!F118)</f>
        <v>-627.16905759006306</v>
      </c>
      <c r="E121" s="108">
        <f>SUM('Pago Cuota MC 2025'!F118)</f>
        <v>0</v>
      </c>
      <c r="F121" s="119">
        <f t="shared" si="6"/>
        <v>627.16905759006306</v>
      </c>
      <c r="G121" s="118">
        <f>SUM('Feb 25'!L118)</f>
        <v>335.87343361577899</v>
      </c>
      <c r="H121" s="108">
        <f>SUM('Pago Cuota MC 2025'!G118)</f>
        <v>0</v>
      </c>
      <c r="I121" s="119">
        <f>SUM(-G121,H121)+Tabla3[[#This Row],[Saldo]]</f>
        <v>291.29562397428407</v>
      </c>
      <c r="J121" s="118">
        <f>SUM('Mar 25'!L118)</f>
        <v>383.66923528353323</v>
      </c>
      <c r="K121" s="108">
        <f>SUM('Pago Cuota MC 2025'!H118)</f>
        <v>0</v>
      </c>
      <c r="L121" s="119">
        <f>SUM(-J121,K121)+Tabla3[[#This Row],[Saldo4]]</f>
        <v>-92.373611309249156</v>
      </c>
      <c r="M121" s="122">
        <f>SUM('Abr 25'!L118)</f>
        <v>386.20647685444635</v>
      </c>
      <c r="N121" s="108">
        <f>SUM('Pago Cuota MC 2025'!I118)</f>
        <v>0</v>
      </c>
      <c r="O121" s="119">
        <f>SUM(-M121,N121)+Tabla3[[#This Row],[Saldo7]]</f>
        <v>-478.58008816369551</v>
      </c>
      <c r="P121" s="122">
        <f>SUM('May 25'!L118)</f>
        <v>396.69607269841271</v>
      </c>
      <c r="Q121" s="108">
        <f>SUM('Pago Cuota MC 2025'!J118)</f>
        <v>1000</v>
      </c>
      <c r="R121" s="119">
        <f>SUM(-P121,Q121)+Tabla3[[#This Row],[Saldo13]]</f>
        <v>124.72383913789173</v>
      </c>
      <c r="S121" s="122">
        <f>SUM('Jun 25'!L118)</f>
        <v>398.19475281109919</v>
      </c>
      <c r="T121" s="108">
        <f>SUM('Pago Cuota MC 2025'!K118)</f>
        <v>0</v>
      </c>
      <c r="U121" s="119">
        <f>SUM(-S121,T121)+Tabla3[[#This Row],[Saldo132]]</f>
        <v>-273.47091367320746</v>
      </c>
      <c r="V121" s="122">
        <f>SUM('Jul 25'!L118)</f>
        <v>417.18397260965941</v>
      </c>
      <c r="W121" s="108">
        <f>SUM('Pago Cuota MC 2025'!L118)</f>
        <v>0</v>
      </c>
      <c r="X121" s="119">
        <f>SUM(-V121,W121)+Tabla3[[#This Row],[Saldo16]]</f>
        <v>-690.65488628286687</v>
      </c>
      <c r="Y121" s="122">
        <f>SUM('Ago 25'!L118)</f>
        <v>409.26673150927246</v>
      </c>
      <c r="Z121" s="108">
        <f>SUM('Pago Cuota MC 2025'!M118)</f>
        <v>0</v>
      </c>
      <c r="AA121" s="119">
        <f>SUM(-Y121,Z121)+Tabla3[[#This Row],[Saldo19]]</f>
        <v>-1099.9216177921394</v>
      </c>
      <c r="AB121" s="122">
        <f>SUM('Sep 25'!L118)</f>
        <v>385.27552252365928</v>
      </c>
      <c r="AC121" s="108">
        <f>SUM('Pago Cuota MC 2025'!N118)</f>
        <v>0</v>
      </c>
      <c r="AD121" s="119">
        <f>SUM(-AB121,AC121)+Tabla3[[#This Row],[Saldo22]]</f>
        <v>-1485.1971403157986</v>
      </c>
      <c r="AE121" s="122">
        <f>SUM('Oct 25'!L118)</f>
        <v>381.43901522108501</v>
      </c>
      <c r="AF121" s="108">
        <f>SUM('Pago Cuota MC 2025'!O118)</f>
        <v>2000</v>
      </c>
      <c r="AG121" s="145">
        <f>SUM(-AE121,AF121)+Tabla3[[#This Row],[Saldo25]]</f>
        <v>133.36384446311649</v>
      </c>
      <c r="AH121" s="122">
        <f>SUM('Nov 25'!L118)</f>
        <v>408.54604735632182</v>
      </c>
      <c r="AI121" s="108">
        <f>SUM('Pago Cuota MC 2025'!P118)</f>
        <v>0</v>
      </c>
      <c r="AJ121" s="119">
        <f>SUM(-AH121,AI121)+Tabla3[[#This Row],[Saldo28]]</f>
        <v>-275.18220289320533</v>
      </c>
      <c r="AK121" s="122">
        <f>SUM('Dic 25'!L118)</f>
        <v>398.88349298052412</v>
      </c>
      <c r="AL121" s="108">
        <f>SUM('Pago Cuota MC 2025'!Q118)</f>
        <v>0</v>
      </c>
      <c r="AM121" s="145">
        <f>SUM(-AK121,AL121)+Tabla3[[#This Row],[Saldo31]]</f>
        <v>-674.06569587372951</v>
      </c>
      <c r="AN121" s="128">
        <f t="shared" si="7"/>
        <v>-674.06569587372951</v>
      </c>
      <c r="AO121" s="29"/>
      <c r="AP121" s="106">
        <f>SUM(Tabla3[[#This Row],[Saldo Anual]])</f>
        <v>-674.06569587372951</v>
      </c>
    </row>
    <row r="122" spans="1:43" ht="16.149999999999999" thickBot="1" x14ac:dyDescent="0.5">
      <c r="A122" s="312"/>
      <c r="B122" s="16" t="s">
        <v>8</v>
      </c>
      <c r="C122" s="116">
        <v>501</v>
      </c>
      <c r="D122" s="118">
        <f>SUM('Ene 25'!L119)-('Pago Cuota MC 2024'!F119)</f>
        <v>338.1085206155613</v>
      </c>
      <c r="E122" s="108">
        <f>SUM('Pago Cuota MC 2025'!F119)</f>
        <v>338.5</v>
      </c>
      <c r="F122" s="119">
        <f t="shared" si="6"/>
        <v>0.39147938443869634</v>
      </c>
      <c r="G122" s="118">
        <f>SUM('Feb 25'!L119)</f>
        <v>394.30586027485049</v>
      </c>
      <c r="H122" s="108">
        <f>SUM('Pago Cuota MC 2025'!G119)</f>
        <v>393.91</v>
      </c>
      <c r="I122" s="119">
        <f>SUM(-G122,H122)+Tabla3[[#This Row],[Saldo]]</f>
        <v>-4.3808904117668135E-3</v>
      </c>
      <c r="J122" s="118">
        <f>SUM('Mar 25'!L119)</f>
        <v>385.70098130316245</v>
      </c>
      <c r="K122" s="108">
        <f>SUM('Pago Cuota MC 2025'!H119)</f>
        <v>385.71</v>
      </c>
      <c r="L122" s="119">
        <f>SUM(-J122,K122)+Tabla3[[#This Row],[Saldo4]]</f>
        <v>4.6378064257623919E-3</v>
      </c>
      <c r="M122" s="122">
        <f>SUM('Abr 25'!L119)</f>
        <v>394.0699330424207</v>
      </c>
      <c r="N122" s="108">
        <f>SUM('Pago Cuota MC 2025'!I119)</f>
        <v>394.95</v>
      </c>
      <c r="O122" s="119">
        <f>SUM(-M122,N122)+Tabla3[[#This Row],[Saldo7]]</f>
        <v>0.88470476400505049</v>
      </c>
      <c r="P122" s="122">
        <f>SUM('May 25'!L119)</f>
        <v>403.00921317460319</v>
      </c>
      <c r="Q122" s="108">
        <f>SUM('Pago Cuota MC 2025'!J119)</f>
        <v>0</v>
      </c>
      <c r="R122" s="119">
        <f>SUM(-P122,Q122)+Tabla3[[#This Row],[Saldo13]]</f>
        <v>-402.12450841059814</v>
      </c>
      <c r="S122" s="122">
        <f>SUM('Jun 25'!L119)</f>
        <v>392.54047198807604</v>
      </c>
      <c r="T122" s="108">
        <f>SUM('Pago Cuota MC 2025'!K119)</f>
        <v>795</v>
      </c>
      <c r="U122" s="119">
        <f>SUM(-S122,T122)+Tabla3[[#This Row],[Saldo132]]</f>
        <v>0.33501960132582553</v>
      </c>
      <c r="V122" s="122">
        <f>SUM('Jul 25'!L119)</f>
        <v>477.79655221067094</v>
      </c>
      <c r="W122" s="108">
        <f>SUM('Pago Cuota MC 2025'!L119)</f>
        <v>477.75</v>
      </c>
      <c r="X122" s="119">
        <f>SUM(-V122,W122)+Tabla3[[#This Row],[Saldo16]]</f>
        <v>0.28846739065488691</v>
      </c>
      <c r="Y122" s="122">
        <f>SUM('Ago 25'!L119)</f>
        <v>419.2047671155492</v>
      </c>
      <c r="Z122" s="108">
        <f>SUM('Pago Cuota MC 2025'!M119)</f>
        <v>418.92</v>
      </c>
      <c r="AA122" s="119">
        <f>SUM(-Y122,Z122)+Tabla3[[#This Row],[Saldo19]]</f>
        <v>3.700275105700257E-3</v>
      </c>
      <c r="AB122" s="122">
        <f>SUM('Sep 25'!L119)</f>
        <v>432.20201589905361</v>
      </c>
      <c r="AC122" s="108">
        <f>SUM('Pago Cuota MC 2025'!N119)</f>
        <v>432.2</v>
      </c>
      <c r="AD122" s="119">
        <f>SUM(-AB122,AC122)+Tabla3[[#This Row],[Saldo22]]</f>
        <v>1.6843760520828255E-3</v>
      </c>
      <c r="AE122" s="122">
        <f>SUM('Oct 25'!L119)</f>
        <v>428.11068957388454</v>
      </c>
      <c r="AF122" s="108">
        <f>SUM('Pago Cuota MC 2025'!O119)</f>
        <v>428.11</v>
      </c>
      <c r="AG122" s="145">
        <f>SUM(-AE122,AF122)+Tabla3[[#This Row],[Saldo25]]</f>
        <v>9.9480216755409856E-4</v>
      </c>
      <c r="AH122" s="122">
        <f>SUM('Nov 25'!L119)</f>
        <v>401.55106358844967</v>
      </c>
      <c r="AI122" s="108">
        <f>SUM('Pago Cuota MC 2025'!P119)</f>
        <v>401.55</v>
      </c>
      <c r="AJ122" s="119">
        <f>SUM(-AH122,AI122)+Tabla3[[#This Row],[Saldo28]]</f>
        <v>-6.8786282099608798E-5</v>
      </c>
      <c r="AK122" s="122">
        <f>SUM('Dic 25'!L119)</f>
        <v>417.39573323487855</v>
      </c>
      <c r="AL122" s="108">
        <f>SUM('Pago Cuota MC 2025'!Q119)</f>
        <v>417.4</v>
      </c>
      <c r="AM122" s="145">
        <f>SUM(-AK122,AL122)+Tabla3[[#This Row],[Saldo31]]</f>
        <v>4.1979788393291528E-3</v>
      </c>
      <c r="AN122" s="128">
        <f t="shared" si="7"/>
        <v>4.1979788393291528E-3</v>
      </c>
      <c r="AO122" s="29"/>
      <c r="AP122" s="106" t="s">
        <v>12</v>
      </c>
    </row>
    <row r="123" spans="1:43" ht="16.149999999999999" thickBot="1" x14ac:dyDescent="0.5">
      <c r="A123" s="312"/>
      <c r="B123" s="16" t="s">
        <v>8</v>
      </c>
      <c r="C123" s="116">
        <v>502</v>
      </c>
      <c r="D123" s="118">
        <f>SUM('Ene 25'!L120)-('Pago Cuota MC 2024'!F120)</f>
        <v>373.81974622599409</v>
      </c>
      <c r="E123" s="108">
        <f>SUM('Pago Cuota MC 2025'!F120)</f>
        <v>373.82</v>
      </c>
      <c r="F123" s="119">
        <f t="shared" si="6"/>
        <v>2.5377400589832178E-4</v>
      </c>
      <c r="G123" s="118">
        <f>SUM('Feb 25'!L120)</f>
        <v>470.77029861150675</v>
      </c>
      <c r="H123" s="108">
        <f>SUM('Pago Cuota MC 2025'!G120)</f>
        <v>470.77</v>
      </c>
      <c r="I123" s="119">
        <f>SUM(-G123,H123)+Tabla3[[#This Row],[Saldo]]</f>
        <v>-4.4837500865924085E-5</v>
      </c>
      <c r="J123" s="118">
        <f>SUM('Mar 25'!L120)</f>
        <v>488.76165992911666</v>
      </c>
      <c r="K123" s="108">
        <f>SUM('Pago Cuota MC 2025'!H120)</f>
        <v>488.77</v>
      </c>
      <c r="L123" s="119">
        <f>SUM(-J123,K123)+Tabla3[[#This Row],[Saldo4]]</f>
        <v>8.2952333824550806E-3</v>
      </c>
      <c r="M123" s="122">
        <f>SUM('Abr 25'!L120)</f>
        <v>486.35971261043005</v>
      </c>
      <c r="N123" s="108">
        <f>SUM('Pago Cuota MC 2025'!I120)</f>
        <v>486.35</v>
      </c>
      <c r="O123" s="119">
        <f>SUM(-M123,N123)+Tabla3[[#This Row],[Saldo7]]</f>
        <v>-1.4173770475736092E-3</v>
      </c>
      <c r="P123" s="122">
        <f>SUM('May 25'!L120)</f>
        <v>493.37683936507938</v>
      </c>
      <c r="Q123" s="108">
        <f>SUM('Pago Cuota MC 2025'!J120)</f>
        <v>493.38</v>
      </c>
      <c r="R123" s="119">
        <f>SUM(-P123,Q123)+Tabla3[[#This Row],[Saldo13]]</f>
        <v>1.7432578730449677E-3</v>
      </c>
      <c r="S123" s="122">
        <f>SUM('Jun 25'!L120)</f>
        <v>492.0205995835575</v>
      </c>
      <c r="T123" s="108">
        <f>SUM('Pago Cuota MC 2025'!K120)</f>
        <v>492</v>
      </c>
      <c r="U123" s="119">
        <f>SUM(-S123,T123)+Tabla3[[#This Row],[Saldo132]]</f>
        <v>-1.8856325684453168E-2</v>
      </c>
      <c r="V123" s="122">
        <f>SUM('Jul 25'!L120)</f>
        <v>477.31830124129749</v>
      </c>
      <c r="W123" s="108">
        <f>SUM('Pago Cuota MC 2025'!L120)</f>
        <v>477</v>
      </c>
      <c r="X123" s="119">
        <f>SUM(-V123,W123)+Tabla3[[#This Row],[Saldo16]]</f>
        <v>-0.33715756698194355</v>
      </c>
      <c r="Y123" s="122">
        <f>SUM('Ago 25'!L120)</f>
        <v>477.02858954065624</v>
      </c>
      <c r="Z123" s="108">
        <f>SUM('Pago Cuota MC 2025'!M120)</f>
        <v>477.37</v>
      </c>
      <c r="AA123" s="119">
        <f>SUM(-Y123,Z123)+Tabla3[[#This Row],[Saldo19]]</f>
        <v>4.2528923618192493E-3</v>
      </c>
      <c r="AB123" s="122">
        <f>SUM('Sep 25'!L120)</f>
        <v>463.72772694006312</v>
      </c>
      <c r="AC123" s="108">
        <f>SUM('Pago Cuota MC 2025'!N120)</f>
        <v>463.72</v>
      </c>
      <c r="AD123" s="119">
        <f>SUM(-AB123,AC123)+Tabla3[[#This Row],[Saldo22]]</f>
        <v>-3.4740477012746851E-3</v>
      </c>
      <c r="AE123" s="122">
        <f>SUM('Oct 25'!L120)</f>
        <v>459.49528265034451</v>
      </c>
      <c r="AF123" s="108">
        <f>SUM('Pago Cuota MC 2025'!O120)</f>
        <v>459.5</v>
      </c>
      <c r="AG123" s="145">
        <f>SUM(-AE123,AF123)+Tabla3[[#This Row],[Saldo25]]</f>
        <v>1.243301954218623E-3</v>
      </c>
      <c r="AH123" s="122">
        <f>SUM('Nov 25'!L120)</f>
        <v>488.0653618222596</v>
      </c>
      <c r="AI123" s="108">
        <f>SUM('Pago Cuota MC 2025'!P120)</f>
        <v>488.06</v>
      </c>
      <c r="AJ123" s="119">
        <f>SUM(-AH123,AI123)+Tabla3[[#This Row],[Saldo28]]</f>
        <v>-4.1185203053828445E-3</v>
      </c>
      <c r="AK123" s="122">
        <f>SUM('Dic 25'!L120)</f>
        <v>471.62755723266673</v>
      </c>
      <c r="AL123" s="108">
        <f>SUM('Pago Cuota MC 2025'!Q120)</f>
        <v>471.63</v>
      </c>
      <c r="AM123" s="145">
        <f>SUM(-AK123,AL123)+Tabla3[[#This Row],[Saldo31]]</f>
        <v>-1.6757529721189712E-3</v>
      </c>
      <c r="AN123" s="128">
        <f t="shared" si="7"/>
        <v>-1.6757529721189712E-3</v>
      </c>
      <c r="AO123" s="29"/>
      <c r="AP123" s="106" t="s">
        <v>12</v>
      </c>
    </row>
    <row r="124" spans="1:43" ht="16.149999999999999" thickBot="1" x14ac:dyDescent="0.5">
      <c r="A124" s="312"/>
      <c r="B124" s="16" t="s">
        <v>8</v>
      </c>
      <c r="C124" s="116">
        <v>503</v>
      </c>
      <c r="D124" s="118">
        <f>SUM('Ene 25'!L121)-('Pago Cuota MC 2024'!F121)</f>
        <v>328.61278339331011</v>
      </c>
      <c r="E124" s="108">
        <f>SUM('Pago Cuota MC 2025'!F121)</f>
        <v>328.61</v>
      </c>
      <c r="F124" s="119">
        <f t="shared" si="6"/>
        <v>-2.7833933100964714E-3</v>
      </c>
      <c r="G124" s="118">
        <f>SUM('Feb 25'!L121)</f>
        <v>382.30867827542011</v>
      </c>
      <c r="H124" s="108">
        <f>SUM('Pago Cuota MC 2025'!G121)</f>
        <v>382.31</v>
      </c>
      <c r="I124" s="119">
        <f>SUM(-G124,H124)+Tabla3[[#This Row],[Saldo]]</f>
        <v>-1.4616687302009268E-3</v>
      </c>
      <c r="J124" s="118">
        <f>SUM('Mar 25'!L121)</f>
        <v>384.19406216466734</v>
      </c>
      <c r="K124" s="108">
        <f>SUM('Pago Cuota MC 2025'!H121)</f>
        <v>384.2</v>
      </c>
      <c r="L124" s="119">
        <f>SUM(-J124,K124)+Tabla3[[#This Row],[Saldo4]]</f>
        <v>4.4761666024442093E-3</v>
      </c>
      <c r="M124" s="122">
        <f>SUM('Abr 25'!L121)</f>
        <v>355.58197200914572</v>
      </c>
      <c r="N124" s="108">
        <f>SUM('Pago Cuota MC 2025'!I121)</f>
        <v>355.58</v>
      </c>
      <c r="O124" s="119">
        <f>SUM(-M124,N124)+Tabla3[[#This Row],[Saldo7]]</f>
        <v>2.504157456712619E-3</v>
      </c>
      <c r="P124" s="122">
        <f>SUM('May 25'!L121)</f>
        <v>396.2845250793651</v>
      </c>
      <c r="Q124" s="108">
        <f>SUM('Pago Cuota MC 2025'!J121)</f>
        <v>396.28</v>
      </c>
      <c r="R124" s="119">
        <f>SUM(-P124,Q124)+Tabla3[[#This Row],[Saldo13]]</f>
        <v>-2.0209219084108554E-3</v>
      </c>
      <c r="S124" s="122">
        <f>SUM('Jun 25'!L121)</f>
        <v>374.51583912094316</v>
      </c>
      <c r="T124" s="108">
        <f>SUM('Pago Cuota MC 2025'!K121)</f>
        <v>375</v>
      </c>
      <c r="U124" s="119">
        <f>SUM(-S124,T124)+Tabla3[[#This Row],[Saldo132]]</f>
        <v>0.4821399571484335</v>
      </c>
      <c r="V124" s="122">
        <f>SUM('Jul 25'!L121)</f>
        <v>366.73648488838938</v>
      </c>
      <c r="W124" s="108">
        <f>SUM('Pago Cuota MC 2025'!L121)</f>
        <v>366.25</v>
      </c>
      <c r="X124" s="119">
        <f>SUM(-V124,W124)+Tabla3[[#This Row],[Saldo16]]</f>
        <v>-4.3449312409507002E-3</v>
      </c>
      <c r="Y124" s="122">
        <f>SUM('Ago 25'!L121)</f>
        <v>381.7373701398003</v>
      </c>
      <c r="Z124" s="108">
        <f>SUM('Pago Cuota MC 2025'!M121)</f>
        <v>381.74</v>
      </c>
      <c r="AA124" s="119">
        <f>SUM(-Y124,Z124)+Tabla3[[#This Row],[Saldo19]]</f>
        <v>-1.7150710412465742E-3</v>
      </c>
      <c r="AB124" s="122">
        <f>SUM('Sep 25'!L121)</f>
        <v>388.10019886435327</v>
      </c>
      <c r="AC124" s="108">
        <f>SUM('Pago Cuota MC 2025'!N121)</f>
        <v>388.1</v>
      </c>
      <c r="AD124" s="119">
        <f>SUM(-AB124,AC124)+Tabla3[[#This Row],[Saldo22]]</f>
        <v>-1.9139353944979121E-3</v>
      </c>
      <c r="AE124" s="122">
        <f>SUM('Oct 25'!L121)</f>
        <v>384.20628469730417</v>
      </c>
      <c r="AF124" s="108">
        <f>SUM('Pago Cuota MC 2025'!O121)</f>
        <v>384.21</v>
      </c>
      <c r="AG124" s="145">
        <f>SUM(-AE124,AF124)+Tabla3[[#This Row],[Saldo25]]</f>
        <v>1.8013673013115294E-3</v>
      </c>
      <c r="AH124" s="122">
        <f>SUM('Nov 25'!L121)</f>
        <v>336.87771556490048</v>
      </c>
      <c r="AI124" s="108">
        <f>SUM('Pago Cuota MC 2025'!P121)</f>
        <v>336.88</v>
      </c>
      <c r="AJ124" s="119">
        <f>SUM(-AH124,AI124)+Tabla3[[#This Row],[Saldo28]]</f>
        <v>4.0858024008230132E-3</v>
      </c>
      <c r="AK124" s="122">
        <f>SUM('Dic 25'!L121)</f>
        <v>372.98993909608947</v>
      </c>
      <c r="AL124" s="108">
        <f>SUM('Pago Cuota MC 2025'!Q121)</f>
        <v>0</v>
      </c>
      <c r="AM124" s="145">
        <f>SUM(-AK124,AL124)+Tabla3[[#This Row],[Saldo31]]</f>
        <v>-372.98585329368865</v>
      </c>
      <c r="AN124" s="128">
        <f t="shared" si="7"/>
        <v>-372.98585329368865</v>
      </c>
      <c r="AO124" s="29"/>
      <c r="AP124" s="106">
        <f>SUM(Tabla3[[#This Row],[Saldo Anual]])</f>
        <v>-372.98585329368865</v>
      </c>
    </row>
    <row r="125" spans="1:43" ht="16.149999999999999" thickBot="1" x14ac:dyDescent="0.5">
      <c r="A125" s="312"/>
      <c r="B125" s="16" t="s">
        <v>8</v>
      </c>
      <c r="C125" s="116">
        <v>504</v>
      </c>
      <c r="D125" s="118">
        <f>SUM('Ene 25'!L122)-('Pago Cuota MC 2024'!F122)</f>
        <v>359.98128037122967</v>
      </c>
      <c r="E125" s="108">
        <f>SUM('Pago Cuota MC 2025'!F122)</f>
        <v>0</v>
      </c>
      <c r="F125" s="119">
        <f t="shared" si="6"/>
        <v>-359.98128037122967</v>
      </c>
      <c r="G125" s="118">
        <f>SUM('Feb 25'!L122)</f>
        <v>481.17202746368559</v>
      </c>
      <c r="H125" s="108">
        <f>SUM('Pago Cuota MC 2025'!G122)</f>
        <v>841.15</v>
      </c>
      <c r="I125" s="119">
        <f>SUM(-G125,H125)+Tabla3[[#This Row],[Saldo]]</f>
        <v>-3.3078349152901865E-3</v>
      </c>
      <c r="J125" s="118">
        <f>SUM('Mar 25'!L122)</f>
        <v>453.90579400763352</v>
      </c>
      <c r="K125" s="108">
        <f>SUM('Pago Cuota MC 2025'!H122)</f>
        <v>454</v>
      </c>
      <c r="L125" s="119">
        <f>SUM(-J125,K125)+Tabla3[[#This Row],[Saldo4]]</f>
        <v>9.0898157451192674E-2</v>
      </c>
      <c r="M125" s="122">
        <f>SUM('Abr 25'!L122)</f>
        <v>425.9785469069858</v>
      </c>
      <c r="N125" s="108">
        <f>SUM('Pago Cuota MC 2025'!I122)</f>
        <v>0</v>
      </c>
      <c r="O125" s="119">
        <f>SUM(-M125,N125)+Tabla3[[#This Row],[Saldo7]]</f>
        <v>-425.88764874953461</v>
      </c>
      <c r="P125" s="122">
        <f>SUM('May 25'!L122)</f>
        <v>470.30959531746032</v>
      </c>
      <c r="Q125" s="108">
        <f>SUM('Pago Cuota MC 2025'!J122)</f>
        <v>896.2</v>
      </c>
      <c r="R125" s="119">
        <f>SUM(-P125,Q125)+Tabla3[[#This Row],[Saldo13]]</f>
        <v>2.7559330051190045E-3</v>
      </c>
      <c r="S125" s="122">
        <f>SUM('Jun 25'!L122)</f>
        <v>429.57614070781784</v>
      </c>
      <c r="T125" s="108">
        <f>SUM('Pago Cuota MC 2025'!K122)</f>
        <v>461.1</v>
      </c>
      <c r="U125" s="119">
        <f>SUM(-S125,T125)+Tabla3[[#This Row],[Saldo132]]</f>
        <v>31.5266152251873</v>
      </c>
      <c r="V125" s="122">
        <f>SUM('Jul 25'!L122)</f>
        <v>431.52381087883612</v>
      </c>
      <c r="W125" s="108">
        <f>SUM('Pago Cuota MC 2025'!L122)</f>
        <v>430</v>
      </c>
      <c r="X125" s="119">
        <f>SUM(-V125,W125)+Tabla3[[#This Row],[Saldo16]]</f>
        <v>30.002804346351184</v>
      </c>
      <c r="Y125" s="122">
        <f>SUM('Ago 25'!L122)</f>
        <v>422.62617938373751</v>
      </c>
      <c r="Z125" s="108">
        <f>SUM('Pago Cuota MC 2025'!M122)</f>
        <v>400</v>
      </c>
      <c r="AA125" s="119">
        <f>SUM(-Y125,Z125)+Tabla3[[#This Row],[Saldo19]]</f>
        <v>7.3766249626136755</v>
      </c>
      <c r="AB125" s="122">
        <f>SUM('Sep 25'!L122)</f>
        <v>436.9054329337539</v>
      </c>
      <c r="AC125" s="108">
        <f>SUM('Pago Cuota MC 2025'!N122)</f>
        <v>429.5</v>
      </c>
      <c r="AD125" s="119">
        <f>SUM(-AB125,AC125)+Tabla3[[#This Row],[Saldo22]]</f>
        <v>-2.8807971140224709E-2</v>
      </c>
      <c r="AE125" s="122">
        <f>SUM('Oct 25'!L122)</f>
        <v>432.79305278881532</v>
      </c>
      <c r="AF125" s="108">
        <f>SUM('Pago Cuota MC 2025'!O122)</f>
        <v>433</v>
      </c>
      <c r="AG125" s="145">
        <f>SUM(-AE125,AF125)+Tabla3[[#This Row],[Saldo25]]</f>
        <v>0.1781392400444588</v>
      </c>
      <c r="AH125" s="122">
        <f>SUM('Nov 25'!L122)</f>
        <v>421.09359319315951</v>
      </c>
      <c r="AI125" s="108">
        <f>SUM('Pago Cuota MC 2025'!P122)</f>
        <v>421</v>
      </c>
      <c r="AJ125" s="119">
        <f>SUM(-AH125,AI125)+Tabla3[[#This Row],[Saldo28]]</f>
        <v>8.4546046884952375E-2</v>
      </c>
      <c r="AK125" s="122">
        <f>SUM('Dic 25'!L122)</f>
        <v>443.04953199075356</v>
      </c>
      <c r="AL125" s="108">
        <f>SUM('Pago Cuota MC 2025'!Q122)</f>
        <v>0</v>
      </c>
      <c r="AM125" s="145">
        <f>SUM(-AK125,AL125)+Tabla3[[#This Row],[Saldo31]]</f>
        <v>-442.96498594386861</v>
      </c>
      <c r="AN125" s="128">
        <f t="shared" si="7"/>
        <v>-442.96498594386861</v>
      </c>
      <c r="AO125" s="29"/>
      <c r="AP125" s="106">
        <f>SUM(Tabla3[[#This Row],[Saldo Anual]])</f>
        <v>-442.96498594386861</v>
      </c>
    </row>
    <row r="126" spans="1:43" ht="16.149999999999999" thickBot="1" x14ac:dyDescent="0.5">
      <c r="A126" s="313"/>
      <c r="B126" s="16" t="s">
        <v>9</v>
      </c>
      <c r="C126" s="116">
        <v>101</v>
      </c>
      <c r="D126" s="118">
        <f>SUM('Ene 25'!L123)-('Pago Cuota MC 2024'!F123)</f>
        <v>331.79711624163457</v>
      </c>
      <c r="E126" s="108">
        <f>SUM('Pago Cuota MC 2025'!F123)</f>
        <v>331.8</v>
      </c>
      <c r="F126" s="119">
        <f t="shared" si="6"/>
        <v>2.8837583654421906E-3</v>
      </c>
      <c r="G126" s="118">
        <f>SUM('Feb 25'!L123)</f>
        <v>367.75016830675025</v>
      </c>
      <c r="H126" s="108">
        <f>SUM('Pago Cuota MC 2025'!G123)</f>
        <v>367.75</v>
      </c>
      <c r="I126" s="119">
        <f>SUM(-G126,H126)+Tabla3[[#This Row],[Saldo]]</f>
        <v>2.715451615188158E-3</v>
      </c>
      <c r="J126" s="118">
        <f>SUM('Mar 25'!L123)</f>
        <v>391.51619406215917</v>
      </c>
      <c r="K126" s="108">
        <f>SUM('Pago Cuota MC 2025'!H123)</f>
        <v>391.51</v>
      </c>
      <c r="L126" s="119">
        <f>SUM(-J126,K126)+Tabla3[[#This Row],[Saldo4]]</f>
        <v>-3.4786105439934545E-3</v>
      </c>
      <c r="M126" s="122">
        <f>SUM('Abr 25'!L123)</f>
        <v>393.34612352695075</v>
      </c>
      <c r="N126" s="108">
        <f>SUM('Pago Cuota MC 2025'!I123)</f>
        <v>393.35</v>
      </c>
      <c r="O126" s="119">
        <f>SUM(-M126,N126)+Tabla3[[#This Row],[Saldo7]]</f>
        <v>3.9786250528095479E-4</v>
      </c>
      <c r="P126" s="122">
        <f>SUM('May 25'!L123)</f>
        <v>411.17020246031746</v>
      </c>
      <c r="Q126" s="108">
        <f>SUM('Pago Cuota MC 2025'!J123)</f>
        <v>411.17</v>
      </c>
      <c r="R126" s="119">
        <f>SUM(-P126,Q126)+Tabla3[[#This Row],[Saldo13]]</f>
        <v>1.9540218784186436E-4</v>
      </c>
      <c r="S126" s="122">
        <f>SUM('Jun 25'!L123)</f>
        <v>414.91874694773173</v>
      </c>
      <c r="T126" s="108">
        <f>SUM('Pago Cuota MC 2025'!K123)</f>
        <v>414.92</v>
      </c>
      <c r="U126" s="119">
        <f>SUM(-S126,T126)+Tabla3[[#This Row],[Saldo132]]</f>
        <v>1.4484544561241819E-3</v>
      </c>
      <c r="V126" s="122">
        <f>SUM('Jul 25'!L123)</f>
        <v>401.57432394430396</v>
      </c>
      <c r="W126" s="108">
        <f>SUM('Pago Cuota MC 2025'!L123)</f>
        <v>401.57</v>
      </c>
      <c r="X126" s="119">
        <f>SUM(-V126,W126)+Tabla3[[#This Row],[Saldo16]]</f>
        <v>-2.8754898478382529E-3</v>
      </c>
      <c r="Y126" s="122">
        <f>SUM('Ago 25'!L123)</f>
        <v>355.08945630242511</v>
      </c>
      <c r="Z126" s="108">
        <f>SUM('Pago Cuota MC 2025'!M123)</f>
        <v>355.09</v>
      </c>
      <c r="AA126" s="119">
        <f>SUM(-Y126,Z126)+Tabla3[[#This Row],[Saldo19]]</f>
        <v>-2.3317922729688689E-3</v>
      </c>
      <c r="AB126" s="122">
        <f>SUM('Sep 25'!L123)</f>
        <v>380.28576858044164</v>
      </c>
      <c r="AC126" s="108">
        <f>SUM('Pago Cuota MC 2025'!N123)</f>
        <v>380.29</v>
      </c>
      <c r="AD126" s="119">
        <f>SUM(-AB126,AC126)+Tabla3[[#This Row],[Saldo22]]</f>
        <v>1.899627285411043E-3</v>
      </c>
      <c r="AE126" s="122">
        <f>SUM('Oct 25'!L123)</f>
        <v>376.42683400495014</v>
      </c>
      <c r="AF126" s="108">
        <f>SUM('Pago Cuota MC 2025'!O123)</f>
        <v>376.42</v>
      </c>
      <c r="AG126" s="145">
        <f>SUM(-AE126,AF126)+Tabla3[[#This Row],[Saldo25]]</f>
        <v>-4.9343776647106097E-3</v>
      </c>
      <c r="AH126" s="122">
        <f>SUM('Nov 25'!L123)</f>
        <v>411.25682935800393</v>
      </c>
      <c r="AI126" s="108">
        <f>SUM('Pago Cuota MC 2025'!P123)</f>
        <v>411.26</v>
      </c>
      <c r="AJ126" s="119">
        <f>SUM(-AH126,AI126)+Tabla3[[#This Row],[Saldo28]]</f>
        <v>-1.7637356686464045E-3</v>
      </c>
      <c r="AK126" s="122">
        <f>SUM('Dic 25'!L123)</f>
        <v>411.21319524759622</v>
      </c>
      <c r="AL126" s="108">
        <f>SUM('Pago Cuota MC 2025'!Q123)</f>
        <v>411.21</v>
      </c>
      <c r="AM126" s="145">
        <f>SUM(-AK126,AL126)+Tabla3[[#This Row],[Saldo31]]</f>
        <v>-4.9589832648848642E-3</v>
      </c>
      <c r="AN126" s="128">
        <f t="shared" si="7"/>
        <v>-4.9589832648848642E-3</v>
      </c>
      <c r="AO126" s="29"/>
      <c r="AP126" s="106" t="s">
        <v>12</v>
      </c>
    </row>
    <row r="127" spans="1:43" ht="16.149999999999999" thickBot="1" x14ac:dyDescent="0.5">
      <c r="A127" s="313"/>
      <c r="B127" s="16" t="s">
        <v>9</v>
      </c>
      <c r="C127" s="116">
        <v>102</v>
      </c>
      <c r="D127" s="118">
        <f>SUM('Ene 25'!L124)-('Pago Cuota MC 2024'!F124)</f>
        <v>314.97908931792892</v>
      </c>
      <c r="E127" s="108">
        <f>SUM('Pago Cuota MC 2025'!F124)</f>
        <v>315.02999999999997</v>
      </c>
      <c r="F127" s="119">
        <f t="shared" si="6"/>
        <v>5.0910682071048541E-2</v>
      </c>
      <c r="G127" s="118">
        <f>SUM('Feb 25'!L124)</f>
        <v>329.08389203218456</v>
      </c>
      <c r="H127" s="108">
        <f>SUM('Pago Cuota MC 2025'!G124)</f>
        <v>329.08</v>
      </c>
      <c r="I127" s="119">
        <f>SUM(-G127,H127)+Tabla3[[#This Row],[Saldo]]</f>
        <v>4.7018649886467756E-2</v>
      </c>
      <c r="J127" s="118">
        <f>SUM('Mar 25'!L124)</f>
        <v>334.54442088876766</v>
      </c>
      <c r="K127" s="108">
        <f>SUM('Pago Cuota MC 2025'!H124)</f>
        <v>334.54</v>
      </c>
      <c r="L127" s="119">
        <f>SUM(-J127,K127)+Tabla3[[#This Row],[Saldo4]]</f>
        <v>4.2597761118827293E-2</v>
      </c>
      <c r="M127" s="122">
        <f>SUM('Abr 25'!L124)</f>
        <v>324.86479740319123</v>
      </c>
      <c r="N127" s="108">
        <f>SUM('Pago Cuota MC 2025'!I124)</f>
        <v>324.86</v>
      </c>
      <c r="O127" s="119">
        <f>SUM(-M127,N127)+Tabla3[[#This Row],[Saldo7]]</f>
        <v>3.7800357927608275E-2</v>
      </c>
      <c r="P127" s="122">
        <f>SUM('May 25'!L124)</f>
        <v>362.7639715079365</v>
      </c>
      <c r="Q127" s="108">
        <f>SUM('Pago Cuota MC 2025'!J124)</f>
        <v>362.8</v>
      </c>
      <c r="R127" s="119">
        <f>SUM(-P127,Q127)+Tabla3[[#This Row],[Saldo13]]</f>
        <v>7.3828849991116385E-2</v>
      </c>
      <c r="S127" s="122">
        <f>SUM('Jun 25'!L124)</f>
        <v>353.08039111126055</v>
      </c>
      <c r="T127" s="108">
        <f>SUM('Pago Cuota MC 2025'!K124)</f>
        <v>353.08</v>
      </c>
      <c r="U127" s="119">
        <f>SUM(-S127,T127)+Tabla3[[#This Row],[Saldo132]]</f>
        <v>7.3437738730547153E-2</v>
      </c>
      <c r="V127" s="122">
        <f>SUM('Jul 25'!L124)</f>
        <v>334.00373411570041</v>
      </c>
      <c r="W127" s="108">
        <f>SUM('Pago Cuota MC 2025'!L124)</f>
        <v>334</v>
      </c>
      <c r="X127" s="119">
        <f>SUM(-V127,W127)+Tabla3[[#This Row],[Saldo16]]</f>
        <v>6.9703623030136441E-2</v>
      </c>
      <c r="Y127" s="122">
        <f>SUM('Ago 25'!L124)</f>
        <v>332.49640477603424</v>
      </c>
      <c r="Z127" s="108">
        <f>SUM('Pago Cuota MC 2025'!M124)</f>
        <v>332.43</v>
      </c>
      <c r="AA127" s="119">
        <f>SUM(-Y127,Z127)+Tabla3[[#This Row],[Saldo19]]</f>
        <v>3.2988469959036593E-3</v>
      </c>
      <c r="AB127" s="122">
        <f>SUM('Sep 25'!L124)</f>
        <v>330.77366258675079</v>
      </c>
      <c r="AC127" s="108">
        <f>SUM('Pago Cuota MC 2025'!N124)</f>
        <v>330.77</v>
      </c>
      <c r="AD127" s="119">
        <f>SUM(-AB127,AC127)+Tabla3[[#This Row],[Saldo22]]</f>
        <v>-3.6373975490278099E-4</v>
      </c>
      <c r="AE127" s="122">
        <f>SUM('Oct 25'!L124)</f>
        <v>327.13635814703321</v>
      </c>
      <c r="AF127" s="108">
        <f>SUM('Pago Cuota MC 2025'!O124)</f>
        <v>327.14</v>
      </c>
      <c r="AG127" s="145">
        <f>SUM(-AE127,AF127)+Tabla3[[#This Row],[Saldo25]]</f>
        <v>3.2781132118770984E-3</v>
      </c>
      <c r="AH127" s="122">
        <f>SUM('Nov 25'!L124)</f>
        <v>328.49383936641436</v>
      </c>
      <c r="AI127" s="108">
        <f>SUM('Pago Cuota MC 2025'!P124)</f>
        <v>327.14</v>
      </c>
      <c r="AJ127" s="119">
        <f>SUM(-AH127,AI127)+Tabla3[[#This Row],[Saldo28]]</f>
        <v>-1.3505612532024998</v>
      </c>
      <c r="AK127" s="122">
        <f>SUM('Dic 25'!L124)</f>
        <v>328.0810522285197</v>
      </c>
      <c r="AL127" s="108">
        <f>SUM('Pago Cuota MC 2025'!Q124)</f>
        <v>0</v>
      </c>
      <c r="AM127" s="145">
        <f>SUM(-AK127,AL127)+Tabla3[[#This Row],[Saldo31]]</f>
        <v>-329.4316134817222</v>
      </c>
      <c r="AN127" s="128">
        <f t="shared" si="7"/>
        <v>-329.4316134817222</v>
      </c>
      <c r="AO127" s="29"/>
      <c r="AP127" s="106">
        <f>SUM(Tabla3[[#This Row],[Saldo Anual]])</f>
        <v>-329.4316134817222</v>
      </c>
    </row>
    <row r="128" spans="1:43" ht="16.149999999999999" thickBot="1" x14ac:dyDescent="0.5">
      <c r="A128" s="313"/>
      <c r="B128" s="16" t="s">
        <v>9</v>
      </c>
      <c r="C128" s="116">
        <v>103</v>
      </c>
      <c r="D128" s="118">
        <f>SUM('Ene 25'!L125)-('Pago Cuota MC 2024'!F125)</f>
        <v>4.4987386731918377E-3</v>
      </c>
      <c r="E128" s="108">
        <f>SUM('Pago Cuota MC 2025'!F125)</f>
        <v>0</v>
      </c>
      <c r="F128" s="119">
        <f t="shared" si="6"/>
        <v>-4.4987386731918377E-3</v>
      </c>
      <c r="G128" s="118">
        <f>SUM('Feb 25'!L125)</f>
        <v>387.93968938336661</v>
      </c>
      <c r="H128" s="108">
        <f>SUM('Pago Cuota MC 2025'!G125)</f>
        <v>0</v>
      </c>
      <c r="I128" s="119">
        <f>SUM(-G128,H128)+Tabla3[[#This Row],[Saldo]]</f>
        <v>-387.9441881220398</v>
      </c>
      <c r="J128" s="118">
        <f>SUM('Mar 25'!L125)</f>
        <v>497.51988970010899</v>
      </c>
      <c r="K128" s="108">
        <f>SUM('Pago Cuota MC 2025'!H125)</f>
        <v>0</v>
      </c>
      <c r="L128" s="119">
        <f>SUM(-J128,K128)+Tabla3[[#This Row],[Saldo4]]</f>
        <v>-885.46407782214874</v>
      </c>
      <c r="M128" s="122">
        <f>SUM('Abr 25'!L125)</f>
        <v>446.36805989589413</v>
      </c>
      <c r="N128" s="108">
        <f>SUM('Pago Cuota MC 2025'!I125)</f>
        <v>1331.83</v>
      </c>
      <c r="O128" s="119">
        <f>SUM(-M128,N128)+Tabla3[[#This Row],[Saldo7]]</f>
        <v>-2.1377180429453801E-3</v>
      </c>
      <c r="P128" s="122">
        <f>SUM('May 25'!L125)</f>
        <v>411.7669465079365</v>
      </c>
      <c r="Q128" s="108">
        <f>SUM('Pago Cuota MC 2025'!J125)</f>
        <v>0</v>
      </c>
      <c r="R128" s="119">
        <f>SUM(-P128,Q128)+Tabla3[[#This Row],[Saldo13]]</f>
        <v>-411.76908422597944</v>
      </c>
      <c r="S128" s="122">
        <f>SUM('Jun 25'!L125)</f>
        <v>465.38771897570382</v>
      </c>
      <c r="T128" s="108">
        <f>SUM('Pago Cuota MC 2025'!K125)</f>
        <v>0</v>
      </c>
      <c r="U128" s="119">
        <f>SUM(-S128,T128)+Tabla3[[#This Row],[Saldo132]]</f>
        <v>-877.15680320168326</v>
      </c>
      <c r="V128" s="122">
        <f>SUM('Jul 25'!L125)</f>
        <v>457.9804977009772</v>
      </c>
      <c r="W128" s="108">
        <f>SUM('Pago Cuota MC 2025'!L125)</f>
        <v>0</v>
      </c>
      <c r="X128" s="119">
        <f>SUM(-V128,W128)+Tabla3[[#This Row],[Saldo16]]</f>
        <v>-1335.1373009026604</v>
      </c>
      <c r="Y128" s="122">
        <f>SUM('Ago 25'!L125)</f>
        <v>444.21987924108419</v>
      </c>
      <c r="Z128" s="108">
        <f>SUM('Pago Cuota MC 2025'!M125)</f>
        <v>1779.36</v>
      </c>
      <c r="AA128" s="119">
        <f>SUM(-Y128,Z128)+Tabla3[[#This Row],[Saldo19]]</f>
        <v>2.8198562552006479E-3</v>
      </c>
      <c r="AB128" s="122">
        <f>SUM('Sep 25'!L125)</f>
        <v>437.94632126182967</v>
      </c>
      <c r="AC128" s="108">
        <f>SUM('Pago Cuota MC 2025'!N125)</f>
        <v>350</v>
      </c>
      <c r="AD128" s="119">
        <f>SUM(-AB128,AC128)+Tabla3[[#This Row],[Saldo22]]</f>
        <v>-87.943501405574466</v>
      </c>
      <c r="AE128" s="122">
        <f>SUM('Oct 25'!L125)</f>
        <v>433.82928180747876</v>
      </c>
      <c r="AF128" s="108">
        <f>SUM('Pago Cuota MC 2025'!O125)</f>
        <v>0</v>
      </c>
      <c r="AG128" s="145">
        <f>SUM(-AE128,AF128)+Tabla3[[#This Row],[Saldo25]]</f>
        <v>-521.77278321305323</v>
      </c>
      <c r="AH128" s="122">
        <f>SUM('Nov 25'!L125)</f>
        <v>361.88246754135128</v>
      </c>
      <c r="AI128" s="108">
        <f>SUM('Pago Cuota MC 2025'!P125)</f>
        <v>871.77</v>
      </c>
      <c r="AJ128" s="119">
        <f>SUM(-AH128,AI128)+Tabla3[[#This Row],[Saldo28]]</f>
        <v>-11.885250754404524</v>
      </c>
      <c r="AK128" s="122">
        <f>SUM('Dic 25'!L125)</f>
        <v>337.72235272616967</v>
      </c>
      <c r="AL128" s="108">
        <f>SUM('Pago Cuota MC 2025'!Q125)</f>
        <v>0</v>
      </c>
      <c r="AM128" s="145">
        <f>SUM(-AK128,AL128)+Tabla3[[#This Row],[Saldo31]]</f>
        <v>-349.6076034805742</v>
      </c>
      <c r="AN128" s="128">
        <f t="shared" si="7"/>
        <v>-349.6076034805742</v>
      </c>
      <c r="AO128" s="29"/>
      <c r="AP128" s="106">
        <f>SUM(Tabla3[[#This Row],[Saldo Anual]])</f>
        <v>-349.6076034805742</v>
      </c>
      <c r="AQ128" t="s">
        <v>12</v>
      </c>
    </row>
    <row r="129" spans="1:43" ht="16.149999999999999" thickBot="1" x14ac:dyDescent="0.5">
      <c r="A129" s="313"/>
      <c r="B129" s="16" t="s">
        <v>9</v>
      </c>
      <c r="C129" s="116">
        <v>104</v>
      </c>
      <c r="D129" s="118">
        <f>SUM('Ene 25'!L126)-('Pago Cuota MC 2024'!F126)</f>
        <v>209.00799221251765</v>
      </c>
      <c r="E129" s="108">
        <f>SUM('Pago Cuota MC 2025'!F126)</f>
        <v>300</v>
      </c>
      <c r="F129" s="119">
        <f t="shared" si="6"/>
        <v>90.992007787482351</v>
      </c>
      <c r="G129" s="118">
        <f>SUM('Feb 25'!L126)</f>
        <v>321.11835756906868</v>
      </c>
      <c r="H129" s="108">
        <f>SUM('Pago Cuota MC 2025'!G126)</f>
        <v>300</v>
      </c>
      <c r="I129" s="119">
        <f>SUM(-G129,H129)+Tabla3[[#This Row],[Saldo]]</f>
        <v>69.873650218413673</v>
      </c>
      <c r="J129" s="118">
        <f>SUM('Mar 25'!L126)</f>
        <v>326.12849389858229</v>
      </c>
      <c r="K129" s="108">
        <f>SUM('Pago Cuota MC 2025'!H126)</f>
        <v>300</v>
      </c>
      <c r="L129" s="119">
        <f>SUM(-J129,K129)+Tabla3[[#This Row],[Saldo4]]</f>
        <v>43.745156319831381</v>
      </c>
      <c r="M129" s="122">
        <f>SUM('Abr 25'!L126)</f>
        <v>313.47089705292854</v>
      </c>
      <c r="N129" s="108">
        <f>SUM('Pago Cuota MC 2025'!I126)</f>
        <v>300</v>
      </c>
      <c r="O129" s="119">
        <f>SUM(-M129,N129)+Tabla3[[#This Row],[Saldo7]]</f>
        <v>30.274259266902845</v>
      </c>
      <c r="P129" s="122">
        <f>SUM('May 25'!L126)</f>
        <v>345.75470841269839</v>
      </c>
      <c r="Q129" s="108">
        <f>SUM('Pago Cuota MC 2025'!J126)</f>
        <v>316</v>
      </c>
      <c r="R129" s="119">
        <f>SUM(-P129,Q129)+Tabla3[[#This Row],[Saldo13]]</f>
        <v>0.51955085420445357</v>
      </c>
      <c r="S129" s="122">
        <f>SUM('Jun 25'!L126)</f>
        <v>362.42546999775868</v>
      </c>
      <c r="T129" s="108">
        <f>SUM('Pago Cuota MC 2025'!K126)</f>
        <v>362</v>
      </c>
      <c r="U129" s="119">
        <f>SUM(-S129,T129)+Tabla3[[#This Row],[Saldo132]]</f>
        <v>9.4080856445771133E-2</v>
      </c>
      <c r="V129" s="122">
        <f>SUM('Jul 25'!L126)</f>
        <v>367.69690691704909</v>
      </c>
      <c r="W129" s="108">
        <f>SUM('Pago Cuota MC 2025'!L126)</f>
        <v>367.6</v>
      </c>
      <c r="X129" s="119">
        <f>SUM(-V129,W129)+Tabla3[[#This Row],[Saldo16]]</f>
        <v>-2.8260606032972646E-3</v>
      </c>
      <c r="Y129" s="122">
        <f>SUM('Ago 25'!L126)</f>
        <v>396.23633778601999</v>
      </c>
      <c r="Z129" s="108">
        <f>SUM('Pago Cuota MC 2025'!M126)</f>
        <v>396.24</v>
      </c>
      <c r="AA129" s="119">
        <f>SUM(-Y129,Z129)+Tabla3[[#This Row],[Saldo19]]</f>
        <v>8.3615337672426904E-4</v>
      </c>
      <c r="AB129" s="122">
        <f>SUM('Sep 25'!L126)</f>
        <v>386.22038561514194</v>
      </c>
      <c r="AC129" s="108">
        <f>SUM('Pago Cuota MC 2025'!N126)</f>
        <v>386.22</v>
      </c>
      <c r="AD129" s="119">
        <f>SUM(-AB129,AC129)+Tabla3[[#This Row],[Saldo22]]</f>
        <v>4.5053823481566724E-4</v>
      </c>
      <c r="AE129" s="122">
        <f>SUM('Oct 25'!L126)</f>
        <v>382.33488602180745</v>
      </c>
      <c r="AF129" s="108">
        <f>SUM('Pago Cuota MC 2025'!O126)</f>
        <v>382.33</v>
      </c>
      <c r="AG129" s="145">
        <f>SUM(-AE129,AF129)+Tabla3[[#This Row],[Saldo25]]</f>
        <v>-4.4354835726494457E-3</v>
      </c>
      <c r="AH129" s="122">
        <f>SUM('Nov 25'!L126)</f>
        <v>389.15388301654048</v>
      </c>
      <c r="AI129" s="108">
        <f>SUM('Pago Cuota MC 2025'!P126)</f>
        <v>389.16</v>
      </c>
      <c r="AJ129" s="119">
        <f>SUM(-AH129,AI129)+Tabla3[[#This Row],[Saldo28]]</f>
        <v>1.6814998868994735E-3</v>
      </c>
      <c r="AK129" s="122">
        <f>SUM('Dic 25'!L126)</f>
        <v>393.16867401453021</v>
      </c>
      <c r="AL129" s="108">
        <f>SUM('Pago Cuota MC 2025'!Q126)</f>
        <v>0</v>
      </c>
      <c r="AM129" s="145">
        <f>SUM(-AK129,AL129)+Tabla3[[#This Row],[Saldo31]]</f>
        <v>-393.16699251464331</v>
      </c>
      <c r="AN129" s="128">
        <f t="shared" si="7"/>
        <v>-393.16699251464331</v>
      </c>
      <c r="AO129" s="29"/>
      <c r="AP129" s="106">
        <f>SUM(Tabla3[[#This Row],[Saldo Anual]])</f>
        <v>-393.16699251464331</v>
      </c>
    </row>
    <row r="130" spans="1:43" ht="16.149999999999999" thickBot="1" x14ac:dyDescent="0.5">
      <c r="A130" s="313"/>
      <c r="B130" s="16" t="s">
        <v>9</v>
      </c>
      <c r="C130" s="116">
        <v>201</v>
      </c>
      <c r="D130" s="118">
        <f>SUM('Ene 25'!L127)-('Pago Cuota MC 2024'!F127)</f>
        <v>328.46700583689346</v>
      </c>
      <c r="E130" s="108">
        <f>SUM('Pago Cuota MC 2025'!F127)</f>
        <v>328</v>
      </c>
      <c r="F130" s="119">
        <f t="shared" si="6"/>
        <v>-0.46700583689346331</v>
      </c>
      <c r="G130" s="118">
        <f>SUM('Feb 25'!L127)</f>
        <v>366.23683407148962</v>
      </c>
      <c r="H130" s="108">
        <f>SUM('Pago Cuota MC 2025'!G127)</f>
        <v>367</v>
      </c>
      <c r="I130" s="119">
        <f>SUM(-G130,H130)+Tabla3[[#This Row],[Saldo]]</f>
        <v>0.29616009161691181</v>
      </c>
      <c r="J130" s="118">
        <f>SUM('Mar 25'!L127)</f>
        <v>371.21016358233362</v>
      </c>
      <c r="K130" s="108">
        <f>SUM('Pago Cuota MC 2025'!H127)</f>
        <v>370</v>
      </c>
      <c r="L130" s="119">
        <f>SUM(-J130,K130)+Tabla3[[#This Row],[Saldo4]]</f>
        <v>-0.91400349071670917</v>
      </c>
      <c r="M130" s="122">
        <f>SUM('Abr 25'!L127)</f>
        <v>363.9952410400856</v>
      </c>
      <c r="N130" s="108">
        <f>SUM('Pago Cuota MC 2025'!I127)</f>
        <v>366</v>
      </c>
      <c r="O130" s="119">
        <f>SUM(-M130,N130)+Tabla3[[#This Row],[Saldo7]]</f>
        <v>1.0907554691976884</v>
      </c>
      <c r="P130" s="122">
        <f>SUM('May 25'!L127)</f>
        <v>380.63748460317458</v>
      </c>
      <c r="Q130" s="108">
        <f>SUM('Pago Cuota MC 2025'!J127)</f>
        <v>379.55</v>
      </c>
      <c r="R130" s="119">
        <f>SUM(-P130,Q130)+Tabla3[[#This Row],[Saldo13]]</f>
        <v>3.2708660231151043E-3</v>
      </c>
      <c r="S130" s="122">
        <f>SUM('Jun 25'!L127)</f>
        <v>390.17548169759732</v>
      </c>
      <c r="T130" s="108">
        <f>SUM('Pago Cuota MC 2025'!K127)</f>
        <v>390</v>
      </c>
      <c r="U130" s="119">
        <f>SUM(-S130,T130)+Tabla3[[#This Row],[Saldo132]]</f>
        <v>-0.1722108315742048</v>
      </c>
      <c r="V130" s="122">
        <f>SUM('Jul 25'!L127)</f>
        <v>368.58676732727673</v>
      </c>
      <c r="W130" s="108">
        <f>SUM('Pago Cuota MC 2025'!L127)</f>
        <v>369</v>
      </c>
      <c r="X130" s="119">
        <f>SUM(-V130,W130)+Tabla3[[#This Row],[Saldo16]]</f>
        <v>0.24102184114906322</v>
      </c>
      <c r="Y130" s="122">
        <f>SUM('Ago 25'!L127)</f>
        <v>358.53823986875892</v>
      </c>
      <c r="Z130" s="108">
        <f>SUM('Pago Cuota MC 2025'!M127)</f>
        <v>358</v>
      </c>
      <c r="AA130" s="119">
        <f>SUM(-Y130,Z130)+Tabla3[[#This Row],[Saldo19]]</f>
        <v>-0.29721802760985838</v>
      </c>
      <c r="AB130" s="122">
        <f>SUM('Sep 25'!L127)</f>
        <v>371.86544807570976</v>
      </c>
      <c r="AC130" s="108">
        <f>SUM('Pago Cuota MC 2025'!N127)</f>
        <v>372.15</v>
      </c>
      <c r="AD130" s="119">
        <f>SUM(-AB130,AC130)+Tabla3[[#This Row],[Saldo22]]</f>
        <v>-1.2666103319645572E-2</v>
      </c>
      <c r="AE130" s="122">
        <f>SUM('Oct 25'!L127)</f>
        <v>368.04420522710546</v>
      </c>
      <c r="AF130" s="108">
        <f>SUM('Pago Cuota MC 2025'!O127)</f>
        <v>369</v>
      </c>
      <c r="AG130" s="145">
        <f>SUM(-AE130,AF130)+Tabla3[[#This Row],[Saldo25]]</f>
        <v>0.9431286695748895</v>
      </c>
      <c r="AH130" s="122">
        <f>SUM('Nov 25'!L127)</f>
        <v>376.32401186431173</v>
      </c>
      <c r="AI130" s="108">
        <f>SUM('Pago Cuota MC 2025'!P127)</f>
        <v>375.38</v>
      </c>
      <c r="AJ130" s="119">
        <f>SUM(-AH130,AI130)+Tabla3[[#This Row],[Saldo28]]</f>
        <v>-8.8319473684350669E-4</v>
      </c>
      <c r="AK130" s="122">
        <f>SUM('Dic 25'!L127)</f>
        <v>371.37060937532641</v>
      </c>
      <c r="AL130" s="108">
        <f>SUM('Pago Cuota MC 2025'!Q127)</f>
        <v>372</v>
      </c>
      <c r="AM130" s="145">
        <f>SUM(-AK130,AL130)+Tabla3[[#This Row],[Saldo31]]</f>
        <v>0.62850742993674658</v>
      </c>
      <c r="AN130" s="128">
        <f t="shared" si="7"/>
        <v>0.62850742993674658</v>
      </c>
      <c r="AO130" s="29"/>
      <c r="AP130" s="106" t="s">
        <v>12</v>
      </c>
    </row>
    <row r="131" spans="1:43" ht="16.149999999999999" thickBot="1" x14ac:dyDescent="0.5">
      <c r="A131" s="313"/>
      <c r="B131" s="16" t="s">
        <v>9</v>
      </c>
      <c r="C131" s="116">
        <v>202</v>
      </c>
      <c r="D131" s="118">
        <f>SUM('Ene 25'!L128)-('Pago Cuota MC 2024'!F128)</f>
        <v>328.94009218089371</v>
      </c>
      <c r="E131" s="108">
        <f>SUM('Pago Cuota MC 2025'!F128)</f>
        <v>328.94</v>
      </c>
      <c r="F131" s="119">
        <f t="shared" si="6"/>
        <v>-9.2180893716431456E-5</v>
      </c>
      <c r="G131" s="118">
        <f>SUM('Feb 25'!L128)</f>
        <v>363.76544586300201</v>
      </c>
      <c r="H131" s="108">
        <f>SUM('Pago Cuota MC 2025'!G128)</f>
        <v>364</v>
      </c>
      <c r="I131" s="119">
        <f>SUM(-G131,H131)+Tabla3[[#This Row],[Saldo]]</f>
        <v>0.23446195610426912</v>
      </c>
      <c r="J131" s="118">
        <f>SUM('Mar 25'!L128)</f>
        <v>379.97626238276985</v>
      </c>
      <c r="K131" s="108">
        <f>SUM('Pago Cuota MC 2025'!H128)</f>
        <v>379.8</v>
      </c>
      <c r="L131" s="119">
        <f>SUM(-J131,K131)+Tabla3[[#This Row],[Saldo4]]</f>
        <v>5.8199573334434263E-2</v>
      </c>
      <c r="M131" s="122">
        <f>SUM('Abr 25'!L128)</f>
        <v>374.65719918369331</v>
      </c>
      <c r="N131" s="108">
        <f>SUM('Pago Cuota MC 2025'!I128)</f>
        <v>374.6</v>
      </c>
      <c r="O131" s="119">
        <f>SUM(-M131,N131)+Tabla3[[#This Row],[Saldo7]]</f>
        <v>1.0003896411490132E-3</v>
      </c>
      <c r="P131" s="122">
        <f>SUM('May 25'!L128)</f>
        <v>398.96781555555555</v>
      </c>
      <c r="Q131" s="108">
        <f>SUM('Pago Cuota MC 2025'!J128)</f>
        <v>399</v>
      </c>
      <c r="R131" s="119">
        <f>SUM(-P131,Q131)+Tabla3[[#This Row],[Saldo13]]</f>
        <v>3.3184834085602688E-2</v>
      </c>
      <c r="S131" s="122">
        <f>SUM('Jun 25'!L128)</f>
        <v>394.13297801282056</v>
      </c>
      <c r="T131" s="108">
        <f>SUM('Pago Cuota MC 2025'!K128)</f>
        <v>394.1</v>
      </c>
      <c r="U131" s="119">
        <f>SUM(-S131,T131)+Tabla3[[#This Row],[Saldo132]]</f>
        <v>2.0682126506699205E-4</v>
      </c>
      <c r="V131" s="122">
        <f>SUM('Jul 25'!L128)</f>
        <v>398.80282037588586</v>
      </c>
      <c r="W131" s="108">
        <f>SUM('Pago Cuota MC 2025'!L128)</f>
        <v>398.8</v>
      </c>
      <c r="X131" s="119">
        <f>SUM(-V131,W131)+Tabla3[[#This Row],[Saldo16]]</f>
        <v>-2.6135546207797233E-3</v>
      </c>
      <c r="Y131" s="122">
        <f>SUM('Ago 25'!L128)</f>
        <v>383.41874988302425</v>
      </c>
      <c r="Z131" s="108">
        <f>SUM('Pago Cuota MC 2025'!M128)</f>
        <v>383.5</v>
      </c>
      <c r="AA131" s="119">
        <f>SUM(-Y131,Z131)+Tabla3[[#This Row],[Saldo19]]</f>
        <v>7.8636562354972739E-2</v>
      </c>
      <c r="AB131" s="122">
        <f>SUM('Sep 25'!L128)</f>
        <v>390.60532189274443</v>
      </c>
      <c r="AC131" s="108">
        <f>SUM('Pago Cuota MC 2025'!N128)</f>
        <v>390.6</v>
      </c>
      <c r="AD131" s="119">
        <f>SUM(-AB131,AC131)+Tabla3[[#This Row],[Saldo22]]</f>
        <v>7.3314669610567762E-2</v>
      </c>
      <c r="AE131" s="122">
        <f>SUM('Oct 25'!L128)</f>
        <v>386.70019408923673</v>
      </c>
      <c r="AF131" s="108">
        <f>SUM('Pago Cuota MC 2025'!O128)</f>
        <v>386.7</v>
      </c>
      <c r="AG131" s="145">
        <f>SUM(-AE131,AF131)+Tabla3[[#This Row],[Saldo25]]</f>
        <v>7.3120580373824851E-2</v>
      </c>
      <c r="AH131" s="122">
        <f>SUM('Nov 25'!L128)</f>
        <v>385.85908318474907</v>
      </c>
      <c r="AI131" s="108">
        <f>SUM('Pago Cuota MC 2025'!P128)</f>
        <v>385.8</v>
      </c>
      <c r="AJ131" s="119">
        <f>SUM(-AH131,AI131)+Tabla3[[#This Row],[Saldo28]]</f>
        <v>1.4037395624768578E-2</v>
      </c>
      <c r="AK131" s="122">
        <f>SUM('Dic 25'!L128)</f>
        <v>385.36287589454128</v>
      </c>
      <c r="AL131" s="108">
        <f>SUM('Pago Cuota MC 2025'!Q128)</f>
        <v>385.35</v>
      </c>
      <c r="AM131" s="145">
        <f>SUM(-AK131,AL131)+Tabla3[[#This Row],[Saldo31]]</f>
        <v>1.1615010835157591E-3</v>
      </c>
      <c r="AN131" s="128">
        <f t="shared" si="7"/>
        <v>1.1615010835157591E-3</v>
      </c>
      <c r="AO131" s="29"/>
      <c r="AP131" s="106" t="s">
        <v>12</v>
      </c>
    </row>
    <row r="132" spans="1:43" ht="16.149999999999999" thickBot="1" x14ac:dyDescent="0.5">
      <c r="A132" s="313"/>
      <c r="B132" s="16" t="s">
        <v>9</v>
      </c>
      <c r="C132" s="116">
        <v>203</v>
      </c>
      <c r="D132" s="118">
        <f>SUM('Ene 25'!L129)-('Pago Cuota MC 2024'!F129)</f>
        <v>-67.612345979899999</v>
      </c>
      <c r="E132" s="108">
        <f>SUM('Pago Cuota MC 2025'!F129)</f>
        <v>0</v>
      </c>
      <c r="F132" s="119">
        <f t="shared" si="6"/>
        <v>67.612345979899999</v>
      </c>
      <c r="G132" s="118">
        <f>SUM('Feb 25'!L129)</f>
        <v>329.96764794218171</v>
      </c>
      <c r="H132" s="108">
        <f>SUM('Pago Cuota MC 2025'!G129)</f>
        <v>0</v>
      </c>
      <c r="I132" s="119">
        <f>SUM(-G132,H132)+Tabla3[[#This Row],[Saldo]]</f>
        <v>-262.35530196228171</v>
      </c>
      <c r="J132" s="118">
        <f>SUM('Mar 25'!L129)</f>
        <v>336.08521423664115</v>
      </c>
      <c r="K132" s="108">
        <f>SUM('Pago Cuota MC 2025'!H129)</f>
        <v>600</v>
      </c>
      <c r="L132" s="119">
        <f>SUM(-J132,K132)+Tabla3[[#This Row],[Saldo4]]</f>
        <v>1.5594838010771355</v>
      </c>
      <c r="M132" s="122">
        <f>SUM('Abr 25'!L129)</f>
        <v>313.23504900856193</v>
      </c>
      <c r="N132" s="108">
        <f>SUM('Pago Cuota MC 2025'!I129)</f>
        <v>0</v>
      </c>
      <c r="O132" s="119">
        <f>SUM(-M132,N132)+Tabla3[[#This Row],[Saldo7]]</f>
        <v>-311.67556520748479</v>
      </c>
      <c r="P132" s="122">
        <f>SUM('May 25'!L129)</f>
        <v>336.75827746031746</v>
      </c>
      <c r="Q132" s="108">
        <f>SUM('Pago Cuota MC 2025'!J129)</f>
        <v>0</v>
      </c>
      <c r="R132" s="119">
        <f>SUM(-P132,Q132)+Tabla3[[#This Row],[Saldo13]]</f>
        <v>-648.43384266780231</v>
      </c>
      <c r="S132" s="122">
        <f>SUM('Jun 25'!L129)</f>
        <v>327.72706136408465</v>
      </c>
      <c r="T132" s="108">
        <f>SUM('Pago Cuota MC 2025'!K129)</f>
        <v>0</v>
      </c>
      <c r="U132" s="119">
        <f>SUM(-S132,T132)+Tabla3[[#This Row],[Saldo132]]</f>
        <v>-976.16090403188696</v>
      </c>
      <c r="V132" s="122">
        <f>SUM('Jul 25'!L129)</f>
        <v>324.00750483781337</v>
      </c>
      <c r="W132" s="108">
        <f>SUM('Pago Cuota MC 2025'!L129)</f>
        <v>1300.17</v>
      </c>
      <c r="X132" s="119">
        <f>SUM(-V132,W132)+Tabla3[[#This Row],[Saldo16]]</f>
        <v>1.5911302997437815E-3</v>
      </c>
      <c r="Y132" s="122">
        <f>SUM('Ago 25'!L129)</f>
        <v>323.15106155206848</v>
      </c>
      <c r="Z132" s="108">
        <f>SUM('Pago Cuota MC 2025'!M129)</f>
        <v>325</v>
      </c>
      <c r="AA132" s="119">
        <f>SUM(-Y132,Z132)+Tabla3[[#This Row],[Saldo19]]</f>
        <v>1.8505295782312601</v>
      </c>
      <c r="AB132" s="122">
        <f>SUM('Sep 25'!L129)</f>
        <v>360.92835280757095</v>
      </c>
      <c r="AC132" s="108">
        <f>SUM('Pago Cuota MC 2025'!N129)</f>
        <v>359.08</v>
      </c>
      <c r="AD132" s="119">
        <f>SUM(-AB132,AC132)+Tabla3[[#This Row],[Saldo22]]</f>
        <v>2.1767706602986436E-3</v>
      </c>
      <c r="AE132" s="122">
        <f>SUM('Oct 25'!L129)</f>
        <v>357.15606747876109</v>
      </c>
      <c r="AF132" s="108">
        <f>SUM('Pago Cuota MC 2025'!O129)</f>
        <v>357.15</v>
      </c>
      <c r="AG132" s="145">
        <f>SUM(-AE132,AF132)+Tabla3[[#This Row],[Saldo25]]</f>
        <v>-3.8907081008119349E-3</v>
      </c>
      <c r="AH132" s="122">
        <f>SUM('Nov 25'!L129)</f>
        <v>411.62997536305016</v>
      </c>
      <c r="AI132" s="108">
        <f>SUM('Pago Cuota MC 2025'!P129)</f>
        <v>0</v>
      </c>
      <c r="AJ132" s="119">
        <f>SUM(-AH132,AI132)+Tabla3[[#This Row],[Saldo28]]</f>
        <v>-411.63386607115098</v>
      </c>
      <c r="AK132" s="122">
        <f>SUM('Dic 25'!L129)</f>
        <v>384.77724451494487</v>
      </c>
      <c r="AL132" s="108">
        <f>SUM('Pago Cuota MC 2025'!Q129)</f>
        <v>0</v>
      </c>
      <c r="AM132" s="145">
        <f>SUM(-AK132,AL132)+Tabla3[[#This Row],[Saldo31]]</f>
        <v>-796.4111105860959</v>
      </c>
      <c r="AN132" s="128">
        <f t="shared" si="7"/>
        <v>-796.4111105860959</v>
      </c>
      <c r="AO132" s="29"/>
      <c r="AP132" s="106">
        <f>SUM(Tabla3[[#This Row],[Saldo Anual]])</f>
        <v>-796.4111105860959</v>
      </c>
    </row>
    <row r="133" spans="1:43" ht="16.149999999999999" thickBot="1" x14ac:dyDescent="0.5">
      <c r="A133" s="313"/>
      <c r="B133" s="16" t="s">
        <v>9</v>
      </c>
      <c r="C133" s="116">
        <v>204</v>
      </c>
      <c r="D133" s="118">
        <f>SUM('Ene 25'!L130)-('Pago Cuota MC 2024'!F130)</f>
        <v>322.11685683015116</v>
      </c>
      <c r="E133" s="108">
        <f>SUM('Pago Cuota MC 2025'!F130)</f>
        <v>322.12</v>
      </c>
      <c r="F133" s="119">
        <f t="shared" si="6"/>
        <v>3.1431698488404436E-3</v>
      </c>
      <c r="G133" s="118">
        <f>SUM('Feb 25'!L130)</f>
        <v>354.97872227997721</v>
      </c>
      <c r="H133" s="108">
        <f>SUM('Pago Cuota MC 2025'!G130)</f>
        <v>406.23</v>
      </c>
      <c r="I133" s="119">
        <f>SUM(-G133,H133)+Tabla3[[#This Row],[Saldo]]</f>
        <v>51.254420889871653</v>
      </c>
      <c r="J133" s="118">
        <f>SUM('Mar 25'!L130)</f>
        <v>353.25303839149393</v>
      </c>
      <c r="K133" s="108">
        <f>SUM('Pago Cuota MC 2025'!H130)</f>
        <v>302</v>
      </c>
      <c r="L133" s="119">
        <f>SUM(-J133,K133)+Tabla3[[#This Row],[Saldo4]]</f>
        <v>1.3824983777226407E-3</v>
      </c>
      <c r="M133" s="122">
        <f>SUM('Abr 25'!L130)</f>
        <v>347.18090201498342</v>
      </c>
      <c r="N133" s="108">
        <f>SUM('Pago Cuota MC 2025'!I130)</f>
        <v>0</v>
      </c>
      <c r="O133" s="119">
        <f>SUM(-M133,N133)+Tabla3[[#This Row],[Saldo7]]</f>
        <v>-347.17951951660569</v>
      </c>
      <c r="P133" s="122">
        <f>SUM('May 25'!L130)</f>
        <v>363.28252150793651</v>
      </c>
      <c r="Q133" s="108">
        <f>SUM('Pago Cuota MC 2025'!J130)</f>
        <v>710.46</v>
      </c>
      <c r="R133" s="119">
        <f>SUM(-P133,Q133)+Tabla3[[#This Row],[Saldo13]]</f>
        <v>-2.0410245421658146E-3</v>
      </c>
      <c r="S133" s="122">
        <f>SUM('Jun 25'!L130)</f>
        <v>374.98329113815674</v>
      </c>
      <c r="T133" s="108">
        <f>SUM('Pago Cuota MC 2025'!K130)</f>
        <v>0</v>
      </c>
      <c r="U133" s="119">
        <f>SUM(-S133,T133)+Tabla3[[#This Row],[Saldo132]]</f>
        <v>-374.98533216269891</v>
      </c>
      <c r="V133" s="122">
        <f>SUM('Jul 25'!L130)</f>
        <v>359.66072259561054</v>
      </c>
      <c r="W133" s="108">
        <f>SUM('Pago Cuota MC 2025'!L130)</f>
        <v>734.65</v>
      </c>
      <c r="X133" s="119">
        <f>SUM(-V133,W133)+Tabla3[[#This Row],[Saldo16]]</f>
        <v>3.9452416905305654E-3</v>
      </c>
      <c r="Y133" s="122">
        <f>SUM('Ago 25'!L130)</f>
        <v>355.05426463338091</v>
      </c>
      <c r="Z133" s="108">
        <f>SUM('Pago Cuota MC 2025'!M130)</f>
        <v>355.05</v>
      </c>
      <c r="AA133" s="119">
        <f>SUM(-Y133,Z133)+Tabla3[[#This Row],[Saldo19]]</f>
        <v>-3.1939169036832027E-4</v>
      </c>
      <c r="AB133" s="122">
        <f>SUM('Sep 25'!L130)</f>
        <v>342.84486006309146</v>
      </c>
      <c r="AC133" s="108">
        <f>SUM('Pago Cuota MC 2025'!N130)</f>
        <v>0</v>
      </c>
      <c r="AD133" s="119">
        <f>SUM(-AB133,AC133)+Tabla3[[#This Row],[Saldo22]]</f>
        <v>-342.84517945478183</v>
      </c>
      <c r="AE133" s="122">
        <f>SUM('Oct 25'!L130)</f>
        <v>339.15352154257806</v>
      </c>
      <c r="AF133" s="108">
        <f>SUM('Pago Cuota MC 2025'!O130)</f>
        <v>0</v>
      </c>
      <c r="AG133" s="145">
        <f>SUM(-AE133,AF133)+Tabla3[[#This Row],[Saldo25]]</f>
        <v>-681.99870099735995</v>
      </c>
      <c r="AH133" s="122">
        <f>SUM('Nov 25'!L130)</f>
        <v>358.48445711241936</v>
      </c>
      <c r="AI133" s="108">
        <f>SUM('Pago Cuota MC 2025'!P130)</f>
        <v>1040.48</v>
      </c>
      <c r="AJ133" s="119">
        <f>SUM(-AH133,AI133)+Tabla3[[#This Row],[Saldo28]]</f>
        <v>-3.1581097792923174E-3</v>
      </c>
      <c r="AK133" s="122">
        <f>SUM('Dic 25'!L130)</f>
        <v>490.52890826943758</v>
      </c>
      <c r="AL133" s="108">
        <f>SUM('Pago Cuota MC 2025'!Q130)</f>
        <v>490.53</v>
      </c>
      <c r="AM133" s="145">
        <f>SUM(-AK133,AL133)+Tabla3[[#This Row],[Saldo31]]</f>
        <v>-2.0663792168988948E-3</v>
      </c>
      <c r="AN133" s="128">
        <f t="shared" si="7"/>
        <v>-2.0663792168988948E-3</v>
      </c>
      <c r="AO133" s="29"/>
      <c r="AP133" s="106" t="s">
        <v>12</v>
      </c>
    </row>
    <row r="134" spans="1:43" ht="16.149999999999999" thickBot="1" x14ac:dyDescent="0.5">
      <c r="A134" s="313"/>
      <c r="B134" s="16" t="s">
        <v>9</v>
      </c>
      <c r="C134" s="116">
        <v>301</v>
      </c>
      <c r="D134" s="118">
        <f>SUM('Ene 25'!L131)-('Pago Cuota MC 2024'!F131)</f>
        <v>347.05704813108179</v>
      </c>
      <c r="E134" s="108">
        <f>SUM('Pago Cuota MC 2025'!F131)</f>
        <v>346.14</v>
      </c>
      <c r="F134" s="119">
        <f t="shared" ref="F134:F165" si="8">SUM(-D134,E134)</f>
        <v>-0.91704813108179906</v>
      </c>
      <c r="G134" s="118">
        <f>SUM('Feb 25'!L131)</f>
        <v>401.48539943748222</v>
      </c>
      <c r="H134" s="108">
        <f>SUM('Pago Cuota MC 2025'!G131)</f>
        <v>302</v>
      </c>
      <c r="I134" s="119">
        <f>SUM(-G134,H134)+Tabla3[[#This Row],[Saldo]]</f>
        <v>-100.40244756856401</v>
      </c>
      <c r="J134" s="118">
        <f>SUM('Mar 25'!L131)</f>
        <v>396.3123675081788</v>
      </c>
      <c r="K134" s="108">
        <f>SUM('Pago Cuota MC 2025'!H131)</f>
        <v>490</v>
      </c>
      <c r="L134" s="119">
        <f>SUM(-J134,K134)+Tabla3[[#This Row],[Saldo4]]</f>
        <v>-6.7148150767428092</v>
      </c>
      <c r="M134" s="122">
        <f>SUM('Abr 25'!L131)</f>
        <v>385.16870254037747</v>
      </c>
      <c r="N134" s="108">
        <f>SUM('Pago Cuota MC 2025'!I131)</f>
        <v>390</v>
      </c>
      <c r="O134" s="119">
        <f>SUM(-M134,N134)+Tabla3[[#This Row],[Saldo7]]</f>
        <v>-1.8835176171202761</v>
      </c>
      <c r="P134" s="122">
        <f>SUM('May 25'!L131)</f>
        <v>535.96183103174599</v>
      </c>
      <c r="Q134" s="108">
        <f>SUM('Pago Cuota MC 2025'!J131)</f>
        <v>437</v>
      </c>
      <c r="R134" s="119">
        <f>SUM(-P134,Q134)+Tabla3[[#This Row],[Saldo13]]</f>
        <v>-100.84534864886626</v>
      </c>
      <c r="S134" s="122">
        <f>SUM('Jun 25'!L131)</f>
        <v>434.29819837322935</v>
      </c>
      <c r="T134" s="108">
        <f>SUM('Pago Cuota MC 2025'!K131)</f>
        <v>437</v>
      </c>
      <c r="U134" s="119">
        <f>SUM(-S134,T134)+Tabla3[[#This Row],[Saldo132]]</f>
        <v>-98.143547022095618</v>
      </c>
      <c r="V134" s="122">
        <f>SUM('Jul 25'!L131)</f>
        <v>422.09207454840623</v>
      </c>
      <c r="W134" s="108">
        <f>SUM('Pago Cuota MC 2025'!L131)</f>
        <v>420</v>
      </c>
      <c r="X134" s="119">
        <f>SUM(-V134,W134)+Tabla3[[#This Row],[Saldo16]]</f>
        <v>-100.23562157050185</v>
      </c>
      <c r="Y134" s="122">
        <f>SUM('Ago 25'!L131)</f>
        <v>382.77747946932953</v>
      </c>
      <c r="Z134" s="108">
        <f>SUM('Pago Cuota MC 2025'!M131)</f>
        <v>383</v>
      </c>
      <c r="AA134" s="119">
        <f>SUM(-Y134,Z134)+Tabla3[[#This Row],[Saldo19]]</f>
        <v>-100.01310103983138</v>
      </c>
      <c r="AB134" s="122">
        <f>SUM('Sep 25'!L131)</f>
        <v>393.35513135646687</v>
      </c>
      <c r="AC134" s="108">
        <f>SUM('Pago Cuota MC 2025'!N131)</f>
        <v>390</v>
      </c>
      <c r="AD134" s="119">
        <f>SUM(-AB134,AC134)+Tabla3[[#This Row],[Saldo22]]</f>
        <v>-103.36823239629825</v>
      </c>
      <c r="AE134" s="122">
        <f>SUM('Oct 25'!L131)</f>
        <v>389.43769463107901</v>
      </c>
      <c r="AF134" s="108">
        <f>SUM('Pago Cuota MC 2025'!O131)</f>
        <v>390</v>
      </c>
      <c r="AG134" s="145">
        <f>SUM(-AE134,AF134)+Tabla3[[#This Row],[Saldo25]]</f>
        <v>-102.80592702737727</v>
      </c>
      <c r="AH134" s="122">
        <f>SUM('Nov 25'!L131)</f>
        <v>425.55943633865991</v>
      </c>
      <c r="AI134" s="108">
        <f>SUM('Pago Cuota MC 2025'!P131)</f>
        <v>428</v>
      </c>
      <c r="AJ134" s="119">
        <f>SUM(-AH134,AI134)+Tabla3[[#This Row],[Saldo28]]</f>
        <v>-100.36536336603717</v>
      </c>
      <c r="AK134" s="122">
        <f>SUM('Dic 25'!L131)</f>
        <v>412.0818162871318</v>
      </c>
      <c r="AL134" s="108">
        <f>SUM('Pago Cuota MC 2025'!Q131)</f>
        <v>0</v>
      </c>
      <c r="AM134" s="145">
        <f>SUM(-AK134,AL134)+Tabla3[[#This Row],[Saldo31]]</f>
        <v>-512.44717965316897</v>
      </c>
      <c r="AN134" s="128">
        <f t="shared" si="7"/>
        <v>-512.44717965316897</v>
      </c>
      <c r="AO134" s="29"/>
      <c r="AP134" s="106">
        <f>SUM(Tabla3[[#This Row],[Saldo Anual]])</f>
        <v>-512.44717965316897</v>
      </c>
    </row>
    <row r="135" spans="1:43" ht="16.149999999999999" thickBot="1" x14ac:dyDescent="0.5">
      <c r="A135" s="313"/>
      <c r="B135" s="16" t="s">
        <v>9</v>
      </c>
      <c r="C135" s="116">
        <v>302</v>
      </c>
      <c r="D135" s="118">
        <f>SUM('Ene 25'!L132)-('Pago Cuota MC 2024'!F132)</f>
        <v>317.6068316534413</v>
      </c>
      <c r="E135" s="108">
        <f>SUM('Pago Cuota MC 2025'!F132)</f>
        <v>317.61</v>
      </c>
      <c r="F135" s="119">
        <f t="shared" si="8"/>
        <v>3.1683465587093451E-3</v>
      </c>
      <c r="G135" s="118">
        <f>SUM('Feb 25'!L132)</f>
        <v>351.67441367843924</v>
      </c>
      <c r="H135" s="108">
        <f>SUM('Pago Cuota MC 2025'!G132)</f>
        <v>351.67</v>
      </c>
      <c r="I135" s="119">
        <f>SUM(-G135,H135)+Tabla3[[#This Row],[Saldo]]</f>
        <v>-1.2453318805114577E-3</v>
      </c>
      <c r="J135" s="118">
        <f>SUM('Mar 25'!L132)</f>
        <v>340.62324613413301</v>
      </c>
      <c r="K135" s="108">
        <f>SUM('Pago Cuota MC 2025'!H132)</f>
        <v>340.62</v>
      </c>
      <c r="L135" s="119">
        <f>SUM(-J135,K135)+Tabla3[[#This Row],[Saldo4]]</f>
        <v>-4.4914660135191298E-3</v>
      </c>
      <c r="M135" s="122">
        <f>SUM('Abr 25'!L132)</f>
        <v>318.33831272718425</v>
      </c>
      <c r="N135" s="108">
        <f>SUM('Pago Cuota MC 2025'!I132)</f>
        <v>318.33999999999997</v>
      </c>
      <c r="O135" s="119">
        <f>SUM(-M135,N135)+Tabla3[[#This Row],[Saldo7]]</f>
        <v>-2.8041931977895729E-3</v>
      </c>
      <c r="P135" s="122">
        <f>SUM('May 25'!L132)</f>
        <v>347.34739769841269</v>
      </c>
      <c r="Q135" s="108">
        <f>SUM('Pago Cuota MC 2025'!J132)</f>
        <v>347.35</v>
      </c>
      <c r="R135" s="119">
        <f>SUM(-P135,Q135)+Tabla3[[#This Row],[Saldo13]]</f>
        <v>-2.0189161045891524E-4</v>
      </c>
      <c r="S135" s="122">
        <f>SUM('Jun 25'!L132)</f>
        <v>349.3051218535951</v>
      </c>
      <c r="T135" s="108">
        <f>SUM('Pago Cuota MC 2025'!K132)</f>
        <v>349.31</v>
      </c>
      <c r="U135" s="119">
        <f>SUM(-S135,T135)+Tabla3[[#This Row],[Saldo132]]</f>
        <v>4.6762547944467769E-3</v>
      </c>
      <c r="V135" s="122">
        <f>SUM('Jul 25'!L132)</f>
        <v>339.0292893840342</v>
      </c>
      <c r="W135" s="108">
        <f>SUM('Pago Cuota MC 2025'!L132)</f>
        <v>339.02</v>
      </c>
      <c r="X135" s="119">
        <f>SUM(-V135,W135)+Tabla3[[#This Row],[Saldo16]]</f>
        <v>-4.6131292397717516E-3</v>
      </c>
      <c r="Y135" s="122">
        <f>SUM('Ago 25'!L132)</f>
        <v>373.91308905563483</v>
      </c>
      <c r="Z135" s="108">
        <f>SUM('Pago Cuota MC 2025'!M132)</f>
        <v>373.92</v>
      </c>
      <c r="AA135" s="119">
        <f>SUM(-Y135,Z135)+Tabla3[[#This Row],[Saldo19]]</f>
        <v>2.2978151254164914E-3</v>
      </c>
      <c r="AB135" s="122">
        <f>SUM('Sep 25'!L132)</f>
        <v>336.78595785488955</v>
      </c>
      <c r="AC135" s="108">
        <f>SUM('Pago Cuota MC 2025'!N132)</f>
        <v>336.78</v>
      </c>
      <c r="AD135" s="119">
        <f>SUM(-AB135,AC135)+Tabla3[[#This Row],[Saldo22]]</f>
        <v>-3.6600397641564086E-3</v>
      </c>
      <c r="AE135" s="122">
        <f>SUM('Oct 25'!L132)</f>
        <v>333.12174068767138</v>
      </c>
      <c r="AF135" s="108">
        <f>SUM('Pago Cuota MC 2025'!O132)</f>
        <v>333.13</v>
      </c>
      <c r="AG135" s="145">
        <f>SUM(-AE135,AF135)+Tabla3[[#This Row],[Saldo25]]</f>
        <v>4.5992725644623533E-3</v>
      </c>
      <c r="AH135" s="122">
        <f>SUM('Nov 25'!L132)</f>
        <v>347.12335215026633</v>
      </c>
      <c r="AI135" s="108">
        <f>SUM('Pago Cuota MC 2025'!P132)</f>
        <v>347.12</v>
      </c>
      <c r="AJ135" s="119">
        <f>SUM(-AH135,AI135)+Tabla3[[#This Row],[Saldo28]]</f>
        <v>1.2471222981389474E-3</v>
      </c>
      <c r="AK135" s="122">
        <f>SUM('Dic 25'!L132)</f>
        <v>340.9020559885418</v>
      </c>
      <c r="AL135" s="108">
        <f>SUM('Pago Cuota MC 2025'!Q132)</f>
        <v>340.9</v>
      </c>
      <c r="AM135" s="145">
        <f>SUM(-AK135,AL135)+Tabla3[[#This Row],[Saldo31]]</f>
        <v>-8.088662436875893E-4</v>
      </c>
      <c r="AN135" s="128">
        <f t="shared" si="7"/>
        <v>-8.088662436875893E-4</v>
      </c>
      <c r="AO135" s="29"/>
      <c r="AP135" s="106" t="s">
        <v>12</v>
      </c>
      <c r="AQ135" t="s">
        <v>12</v>
      </c>
    </row>
    <row r="136" spans="1:43" ht="16.149999999999999" thickBot="1" x14ac:dyDescent="0.5">
      <c r="A136" s="313"/>
      <c r="B136" s="16" t="s">
        <v>9</v>
      </c>
      <c r="C136" s="116">
        <v>303</v>
      </c>
      <c r="D136" s="118">
        <f>SUM('Ene 25'!L133)-('Pago Cuota MC 2024'!F133)</f>
        <v>326.41459145687742</v>
      </c>
      <c r="E136" s="108">
        <f>SUM('Pago Cuota MC 2025'!F133)</f>
        <v>0</v>
      </c>
      <c r="F136" s="119">
        <f t="shared" si="8"/>
        <v>-326.41459145687742</v>
      </c>
      <c r="G136" s="118">
        <f>SUM('Feb 25'!L133)</f>
        <v>377.51840840928514</v>
      </c>
      <c r="H136" s="108">
        <f>SUM('Pago Cuota MC 2025'!G133)</f>
        <v>703.93</v>
      </c>
      <c r="I136" s="119">
        <f>SUM(-G136,H136)+Tabla3[[#This Row],[Saldo]]</f>
        <v>-2.9998661626109424E-3</v>
      </c>
      <c r="J136" s="118">
        <f>SUM('Mar 25'!L133)</f>
        <v>395.34447688658668</v>
      </c>
      <c r="K136" s="108">
        <f>SUM('Pago Cuota MC 2025'!H133)</f>
        <v>0</v>
      </c>
      <c r="L136" s="119">
        <f>SUM(-J136,K136)+Tabla3[[#This Row],[Saldo4]]</f>
        <v>-395.34747675274929</v>
      </c>
      <c r="M136" s="122">
        <f>SUM('Abr 25'!L133)</f>
        <v>361.16506450768628</v>
      </c>
      <c r="N136" s="108">
        <f>SUM('Pago Cuota MC 2025'!I133)</f>
        <v>756.51</v>
      </c>
      <c r="O136" s="119">
        <f>SUM(-M136,N136)+Tabla3[[#This Row],[Saldo7]]</f>
        <v>-2.5412604355778967E-3</v>
      </c>
      <c r="P136" s="122">
        <f>SUM('May 25'!L133)</f>
        <v>386.92593222222223</v>
      </c>
      <c r="Q136" s="108">
        <f>SUM('Pago Cuota MC 2025'!J133)</f>
        <v>0</v>
      </c>
      <c r="R136" s="119">
        <f>SUM(-P136,Q136)+Tabla3[[#This Row],[Saldo13]]</f>
        <v>-386.92847348265781</v>
      </c>
      <c r="S136" s="122">
        <f>SUM('Jun 25'!L133)</f>
        <v>378.82590517796308</v>
      </c>
      <c r="T136" s="108">
        <f>SUM('Pago Cuota MC 2025'!K133)</f>
        <v>765.75</v>
      </c>
      <c r="U136" s="119">
        <f>SUM(-S136,T136)+Tabla3[[#This Row],[Saldo132]]</f>
        <v>-4.3786606208868761E-3</v>
      </c>
      <c r="V136" s="122">
        <f>SUM('Jul 25'!L133)</f>
        <v>359.16679126658551</v>
      </c>
      <c r="W136" s="108">
        <f>SUM('Pago Cuota MC 2025'!L133)</f>
        <v>0</v>
      </c>
      <c r="X136" s="119">
        <f>SUM(-V136,W136)+Tabla3[[#This Row],[Saldo16]]</f>
        <v>-359.17116992720639</v>
      </c>
      <c r="Y136" s="122">
        <f>SUM('Ago 25'!L133)</f>
        <v>401.96866965477886</v>
      </c>
      <c r="Z136" s="108">
        <f>SUM('Pago Cuota MC 2025'!M133)</f>
        <v>761.14</v>
      </c>
      <c r="AA136" s="119">
        <f>SUM(-Y136,Z136)+Tabla3[[#This Row],[Saldo19]]</f>
        <v>1.6041801472965744E-4</v>
      </c>
      <c r="AB136" s="122">
        <f>SUM('Sep 25'!L133)</f>
        <v>381.55969160883279</v>
      </c>
      <c r="AC136" s="108">
        <f>SUM('Pago Cuota MC 2025'!N133)</f>
        <v>381.56</v>
      </c>
      <c r="AD136" s="119">
        <f>SUM(-AB136,AC136)+Tabla3[[#This Row],[Saldo22]]</f>
        <v>4.6880918193892285E-4</v>
      </c>
      <c r="AE136" s="122">
        <f>SUM('Oct 25'!L133)</f>
        <v>377.69505459495616</v>
      </c>
      <c r="AF136" s="108">
        <f>SUM('Pago Cuota MC 2025'!O133)</f>
        <v>0</v>
      </c>
      <c r="AG136" s="145">
        <f>SUM(-AE136,AF136)+Tabla3[[#This Row],[Saldo25]]</f>
        <v>-377.69458578577422</v>
      </c>
      <c r="AH136" s="122">
        <f>SUM('Nov 25'!L133)</f>
        <v>367.15017763386595</v>
      </c>
      <c r="AI136" s="108">
        <f>SUM('Pago Cuota MC 2025'!P133)</f>
        <v>744.84</v>
      </c>
      <c r="AJ136" s="119">
        <f>SUM(-AH136,AI136)+Tabla3[[#This Row],[Saldo28]]</f>
        <v>-4.7634196401418194E-3</v>
      </c>
      <c r="AK136" s="122">
        <f>SUM('Dic 25'!L133)</f>
        <v>364.72821319064298</v>
      </c>
      <c r="AL136" s="108">
        <f>SUM('Pago Cuota MC 2025'!Q133)</f>
        <v>0</v>
      </c>
      <c r="AM136" s="145">
        <f>SUM(-AK136,AL136)+Tabla3[[#This Row],[Saldo31]]</f>
        <v>-364.73297661028312</v>
      </c>
      <c r="AN136" s="128">
        <f t="shared" si="7"/>
        <v>-364.73297661028312</v>
      </c>
      <c r="AO136" s="29"/>
      <c r="AP136" s="106">
        <f>SUM(Tabla3[[#This Row],[Saldo Anual]])</f>
        <v>-364.73297661028312</v>
      </c>
    </row>
    <row r="137" spans="1:43" ht="16.149999999999999" thickBot="1" x14ac:dyDescent="0.5">
      <c r="A137" s="313"/>
      <c r="B137" s="16" t="s">
        <v>9</v>
      </c>
      <c r="C137" s="116">
        <v>304</v>
      </c>
      <c r="D137" s="118">
        <f>SUM('Ene 25'!L134)-('Pago Cuota MC 2024'!F134)</f>
        <v>334.61047756795722</v>
      </c>
      <c r="E137" s="108">
        <f>SUM('Pago Cuota MC 2025'!F134)</f>
        <v>334.61</v>
      </c>
      <c r="F137" s="119">
        <f t="shared" si="8"/>
        <v>-4.7756795720488299E-4</v>
      </c>
      <c r="G137" s="118">
        <f>SUM('Feb 25'!L134)</f>
        <v>378.66416275277697</v>
      </c>
      <c r="H137" s="108">
        <f>SUM('Pago Cuota MC 2025'!G134)</f>
        <v>378.66</v>
      </c>
      <c r="I137" s="119">
        <f>SUM(-G137,H137)+Tabla3[[#This Row],[Saldo]]</f>
        <v>-4.640320734154102E-3</v>
      </c>
      <c r="J137" s="118">
        <f>SUM('Mar 25'!L134)</f>
        <v>395.73399384405667</v>
      </c>
      <c r="K137" s="108">
        <f>SUM('Pago Cuota MC 2025'!H134)</f>
        <v>395.74</v>
      </c>
      <c r="L137" s="119">
        <f>SUM(-J137,K137)+Tabla3[[#This Row],[Saldo4]]</f>
        <v>1.3658352091852066E-3</v>
      </c>
      <c r="M137" s="122">
        <f>SUM('Abr 25'!L134)</f>
        <v>401.49508009437636</v>
      </c>
      <c r="N137" s="108">
        <f>SUM('Pago Cuota MC 2025'!I134)</f>
        <v>401.49</v>
      </c>
      <c r="O137" s="119">
        <f>SUM(-M137,N137)+Tabla3[[#This Row],[Saldo7]]</f>
        <v>-3.7142591671681657E-3</v>
      </c>
      <c r="P137" s="122">
        <f>SUM('May 25'!L134)</f>
        <v>420.87037984126982</v>
      </c>
      <c r="Q137" s="108">
        <f>SUM('Pago Cuota MC 2025'!J134)</f>
        <v>420.87</v>
      </c>
      <c r="R137" s="119">
        <f>SUM(-P137,Q137)+Tabla3[[#This Row],[Saldo13]]</f>
        <v>-4.0941004369869916E-3</v>
      </c>
      <c r="S137" s="122">
        <f>SUM('Jun 25'!L134)</f>
        <v>404.52784320916265</v>
      </c>
      <c r="T137" s="108">
        <f>SUM('Pago Cuota MC 2025'!K134)</f>
        <v>404.53</v>
      </c>
      <c r="U137" s="119">
        <f>SUM(-S137,T137)+Tabla3[[#This Row],[Saldo132]]</f>
        <v>-1.9373095996684242E-3</v>
      </c>
      <c r="V137" s="122">
        <f>SUM('Jul 25'!L134)</f>
        <v>394.27903661640289</v>
      </c>
      <c r="W137" s="108">
        <f>SUM('Pago Cuota MC 2025'!L134)</f>
        <v>394.28</v>
      </c>
      <c r="X137" s="119">
        <f>SUM(-V137,W137)+Tabla3[[#This Row],[Saldo16]]</f>
        <v>-9.7392600258672246E-4</v>
      </c>
      <c r="Y137" s="122">
        <f>SUM('Ago 25'!L134)</f>
        <v>396.47485909843078</v>
      </c>
      <c r="Z137" s="108">
        <f>SUM('Pago Cuota MC 2025'!M134)</f>
        <v>396.48</v>
      </c>
      <c r="AA137" s="119">
        <f>SUM(-Y137,Z137)+Tabla3[[#This Row],[Saldo19]]</f>
        <v>4.1669755666475794E-3</v>
      </c>
      <c r="AB137" s="122">
        <f>SUM('Sep 25'!L134)</f>
        <v>378.94581905362776</v>
      </c>
      <c r="AC137" s="108">
        <f>SUM('Pago Cuota MC 2025'!N134)</f>
        <v>378.94</v>
      </c>
      <c r="AD137" s="119">
        <f>SUM(-AB137,AC137)+Tabla3[[#This Row],[Saldo22]]</f>
        <v>-1.6520780611131158E-3</v>
      </c>
      <c r="AE137" s="122">
        <f>SUM('Oct 25'!L134)</f>
        <v>375.0928824697304</v>
      </c>
      <c r="AF137" s="108">
        <f>SUM('Pago Cuota MC 2025'!O134)</f>
        <v>375.09</v>
      </c>
      <c r="AG137" s="145">
        <f>SUM(-AE137,AF137)+Tabla3[[#This Row],[Saldo25]]</f>
        <v>-4.5345477915361698E-3</v>
      </c>
      <c r="AH137" s="122">
        <f>SUM('Nov 25'!L134)</f>
        <v>396.06502338659936</v>
      </c>
      <c r="AI137" s="108">
        <f>SUM('Pago Cuota MC 2025'!P134)</f>
        <v>396.07</v>
      </c>
      <c r="AJ137" s="119">
        <f>SUM(-AH137,AI137)+Tabla3[[#This Row],[Saldo28]]</f>
        <v>4.4206560909287873E-4</v>
      </c>
      <c r="AK137" s="122">
        <f>SUM('Dic 25'!L134)</f>
        <v>388.24779826114343</v>
      </c>
      <c r="AL137" s="108">
        <f>SUM('Pago Cuota MC 2025'!Q134)</f>
        <v>388.25</v>
      </c>
      <c r="AM137" s="145">
        <f>SUM(-AK137,AL137)+Tabla3[[#This Row],[Saldo31]]</f>
        <v>2.6438044656629245E-3</v>
      </c>
      <c r="AN137" s="128">
        <f t="shared" si="7"/>
        <v>2.6438044656629245E-3</v>
      </c>
      <c r="AO137" s="29"/>
      <c r="AP137" s="106" t="s">
        <v>12</v>
      </c>
    </row>
    <row r="138" spans="1:43" ht="16.149999999999999" thickBot="1" x14ac:dyDescent="0.5">
      <c r="A138" s="313"/>
      <c r="B138" s="16" t="s">
        <v>9</v>
      </c>
      <c r="C138" s="116">
        <v>401</v>
      </c>
      <c r="D138" s="118">
        <f>SUM('Ene 25'!L135)-('Pago Cuota MC 2024'!F135)</f>
        <v>315.66200943284031</v>
      </c>
      <c r="E138" s="108">
        <f>SUM('Pago Cuota MC 2025'!F135)</f>
        <v>331</v>
      </c>
      <c r="F138" s="119">
        <f t="shared" si="8"/>
        <v>15.337990567159693</v>
      </c>
      <c r="G138" s="118">
        <f>SUM('Feb 25'!L135)</f>
        <v>328.7006704428938</v>
      </c>
      <c r="H138" s="108">
        <f>SUM('Pago Cuota MC 2025'!G135)</f>
        <v>314</v>
      </c>
      <c r="I138" s="119">
        <f>SUM(-G138,H138)+Tabla3[[#This Row],[Saldo]]</f>
        <v>0.6373201242658979</v>
      </c>
      <c r="J138" s="118">
        <f>SUM('Mar 25'!L135)</f>
        <v>336.02773293893125</v>
      </c>
      <c r="K138" s="108">
        <f>SUM('Pago Cuota MC 2025'!H135)</f>
        <v>336</v>
      </c>
      <c r="L138" s="119">
        <f>SUM(-J138,K138)+Tabla3[[#This Row],[Saldo4]]</f>
        <v>0.60958718533464662</v>
      </c>
      <c r="M138" s="122">
        <f>SUM('Abr 25'!L135)</f>
        <v>341.62627393559058</v>
      </c>
      <c r="N138" s="108">
        <f>SUM('Pago Cuota MC 2025'!I135)</f>
        <v>342</v>
      </c>
      <c r="O138" s="119">
        <f>SUM(-M138,N138)+Tabla3[[#This Row],[Saldo7]]</f>
        <v>0.98331324974407153</v>
      </c>
      <c r="P138" s="122">
        <f>SUM('May 25'!L135)</f>
        <v>364.72705365079366</v>
      </c>
      <c r="Q138" s="108">
        <f>SUM('Pago Cuota MC 2025'!J135)</f>
        <v>363.75</v>
      </c>
      <c r="R138" s="119">
        <f>SUM(-P138,Q138)+Tabla3[[#This Row],[Saldo13]]</f>
        <v>6.2595989504075078E-3</v>
      </c>
      <c r="S138" s="122">
        <f>SUM('Jun 25'!L135)</f>
        <v>353.34184732427832</v>
      </c>
      <c r="T138" s="108">
        <f>SUM('Pago Cuota MC 2025'!K135)</f>
        <v>354</v>
      </c>
      <c r="U138" s="119">
        <f>SUM(-S138,T138)+Tabla3[[#This Row],[Saldo132]]</f>
        <v>0.66441227467208819</v>
      </c>
      <c r="V138" s="122">
        <f>SUM('Jul 25'!L135)</f>
        <v>349.14312135930817</v>
      </c>
      <c r="W138" s="108">
        <f>SUM('Pago Cuota MC 2025'!L135)</f>
        <v>349</v>
      </c>
      <c r="X138" s="119">
        <f>SUM(-V138,W138)+Tabla3[[#This Row],[Saldo16]]</f>
        <v>0.52129091536392025</v>
      </c>
      <c r="Y138" s="122">
        <f>SUM('Ago 25'!L135)</f>
        <v>352.51264409129817</v>
      </c>
      <c r="Z138" s="108">
        <f>SUM('Pago Cuota MC 2025'!M135)</f>
        <v>353</v>
      </c>
      <c r="AA138" s="119">
        <f>SUM(-Y138,Z138)+Tabla3[[#This Row],[Saldo19]]</f>
        <v>1.0086468240657496</v>
      </c>
      <c r="AB138" s="122">
        <f>SUM('Sep 25'!L135)</f>
        <v>353.95673135646683</v>
      </c>
      <c r="AC138" s="108">
        <f>SUM('Pago Cuota MC 2025'!N135)</f>
        <v>353</v>
      </c>
      <c r="AD138" s="119">
        <f>SUM(-AB138,AC138)+Tabla3[[#This Row],[Saldo22]]</f>
        <v>5.1915467598917076E-2</v>
      </c>
      <c r="AE138" s="122">
        <f>SUM('Oct 25'!L135)</f>
        <v>350.21565296942936</v>
      </c>
      <c r="AF138" s="108">
        <f>SUM('Pago Cuota MC 2025'!O135)</f>
        <v>356</v>
      </c>
      <c r="AG138" s="145">
        <f>SUM(-AE138,AF138)+Tabla3[[#This Row],[Saldo25]]</f>
        <v>5.8362624981695603</v>
      </c>
      <c r="AH138" s="122">
        <f>SUM('Nov 25'!L135)</f>
        <v>371.52471909728058</v>
      </c>
      <c r="AI138" s="108">
        <f>SUM('Pago Cuota MC 2025'!P135)</f>
        <v>366</v>
      </c>
      <c r="AJ138" s="119">
        <f>SUM(-AH138,AI138)+Tabla3[[#This Row],[Saldo28]]</f>
        <v>0.31154340088897925</v>
      </c>
      <c r="AK138" s="122">
        <f>SUM('Dic 25'!L135)</f>
        <v>354.87860085998221</v>
      </c>
      <c r="AL138" s="108">
        <f>SUM('Pago Cuota MC 2025'!Q135)</f>
        <v>355</v>
      </c>
      <c r="AM138" s="145">
        <f>SUM(-AK138,AL138)+Tabla3[[#This Row],[Saldo31]]</f>
        <v>0.43294254090676532</v>
      </c>
      <c r="AN138" s="128">
        <f t="shared" ref="AN138:AN165" si="9">SUM(AM138)</f>
        <v>0.43294254090676532</v>
      </c>
      <c r="AO138" s="29"/>
      <c r="AP138" s="106" t="s">
        <v>12</v>
      </c>
    </row>
    <row r="139" spans="1:43" ht="16.149999999999999" thickBot="1" x14ac:dyDescent="0.5">
      <c r="A139" s="313"/>
      <c r="B139" s="16" t="s">
        <v>9</v>
      </c>
      <c r="C139" s="116">
        <v>402</v>
      </c>
      <c r="D139" s="118">
        <f>SUM('Ene 25'!L136)-('Pago Cuota MC 2024'!F136)</f>
        <v>318.5878807129543</v>
      </c>
      <c r="E139" s="108">
        <f>SUM('Pago Cuota MC 2025'!F136)</f>
        <v>320.87</v>
      </c>
      <c r="F139" s="119">
        <f t="shared" si="8"/>
        <v>2.2821192870457025</v>
      </c>
      <c r="G139" s="118">
        <f>SUM('Feb 25'!L136)</f>
        <v>320.87200083309602</v>
      </c>
      <c r="H139" s="108">
        <f>SUM('Pago Cuota MC 2025'!G136)</f>
        <v>318.58999999999997</v>
      </c>
      <c r="I139" s="119">
        <f>SUM(-G139,H139)+Tabla3[[#This Row],[Saldo]]</f>
        <v>1.1845394965348532E-4</v>
      </c>
      <c r="J139" s="118">
        <f>SUM('Mar 25'!L136)</f>
        <v>326.08521423664115</v>
      </c>
      <c r="K139" s="108">
        <f>SUM('Pago Cuota MC 2025'!H136)</f>
        <v>326.08999999999997</v>
      </c>
      <c r="L139" s="119">
        <f>SUM(-J139,K139)+Tabla3[[#This Row],[Saldo4]]</f>
        <v>4.9042173084785645E-3</v>
      </c>
      <c r="M139" s="122">
        <f>SUM('Abr 25'!L136)</f>
        <v>313.23504900856193</v>
      </c>
      <c r="N139" s="108">
        <f>SUM('Pago Cuota MC 2025'!I136)</f>
        <v>313.23</v>
      </c>
      <c r="O139" s="119">
        <f>SUM(-M139,N139)+Tabla3[[#This Row],[Saldo7]]</f>
        <v>-1.4479125343314081E-4</v>
      </c>
      <c r="P139" s="122">
        <f>SUM('May 25'!L136)</f>
        <v>338.6349346031746</v>
      </c>
      <c r="Q139" s="108">
        <f>SUM('Pago Cuota MC 2025'!J136)</f>
        <v>338.64</v>
      </c>
      <c r="R139" s="119">
        <f>SUM(-P139,Q139)+Tabla3[[#This Row],[Saldo13]]</f>
        <v>4.9206055719537289E-3</v>
      </c>
      <c r="S139" s="122">
        <f>SUM('Jun 25'!L136)</f>
        <v>340.90683137484314</v>
      </c>
      <c r="T139" s="108">
        <f>SUM('Pago Cuota MC 2025'!K136)</f>
        <v>340.9</v>
      </c>
      <c r="U139" s="119">
        <f>SUM(-S139,T139)+Tabla3[[#This Row],[Saldo132]]</f>
        <v>-1.9107692712054813E-3</v>
      </c>
      <c r="V139" s="122">
        <f>SUM('Jul 25'!L136)</f>
        <v>324.00750483781337</v>
      </c>
      <c r="W139" s="108">
        <f>SUM('Pago Cuota MC 2025'!L136)</f>
        <v>0</v>
      </c>
      <c r="X139" s="119">
        <f>SUM(-V139,W139)+Tabla3[[#This Row],[Saldo16]]</f>
        <v>-324.00941560708458</v>
      </c>
      <c r="Y139" s="122">
        <f>SUM('Ago 25'!L136)</f>
        <v>333.29799279315262</v>
      </c>
      <c r="Z139" s="108">
        <f>SUM('Pago Cuota MC 2025'!M136)</f>
        <v>657.31</v>
      </c>
      <c r="AA139" s="119">
        <f>SUM(-Y139,Z139)+Tabla3[[#This Row],[Saldo19]]</f>
        <v>2.5915997627521392E-3</v>
      </c>
      <c r="AB139" s="122">
        <f>SUM('Sep 25'!L136)</f>
        <v>326.57903798107253</v>
      </c>
      <c r="AC139" s="108">
        <f>SUM('Pago Cuota MC 2025'!N136)</f>
        <v>326.58</v>
      </c>
      <c r="AD139" s="119">
        <f>SUM(-AB139,AC139)+Tabla3[[#This Row],[Saldo22]]</f>
        <v>3.5536186902049849E-3</v>
      </c>
      <c r="AE139" s="122">
        <f>SUM('Oct 25'!L136)</f>
        <v>322.96050986286707</v>
      </c>
      <c r="AF139" s="108">
        <f>SUM('Pago Cuota MC 2025'!O136)</f>
        <v>322.95999999999998</v>
      </c>
      <c r="AG139" s="145">
        <f>SUM(-AE139,AF139)+Tabla3[[#This Row],[Saldo25]]</f>
        <v>3.0437558231142248E-3</v>
      </c>
      <c r="AH139" s="122">
        <f>SUM('Nov 25'!L136)</f>
        <v>324.30190126717127</v>
      </c>
      <c r="AI139" s="108">
        <f>SUM('Pago Cuota MC 2025'!P136)</f>
        <v>324.3</v>
      </c>
      <c r="AJ139" s="119">
        <f>SUM(-AH139,AI139)+Tabla3[[#This Row],[Saldo28]]</f>
        <v>1.1424886518511812E-3</v>
      </c>
      <c r="AK139" s="122">
        <f>SUM('Dic 25'!L136)</f>
        <v>321.23427462276908</v>
      </c>
      <c r="AL139" s="108">
        <f>SUM('Pago Cuota MC 2025'!Q136)</f>
        <v>321.23</v>
      </c>
      <c r="AM139" s="145">
        <f>SUM(-AK139,AL139)+Tabla3[[#This Row],[Saldo31]]</f>
        <v>-3.1321341172088069E-3</v>
      </c>
      <c r="AN139" s="128">
        <f t="shared" si="9"/>
        <v>-3.1321341172088069E-3</v>
      </c>
      <c r="AO139" s="29"/>
      <c r="AP139" s="106" t="s">
        <v>12</v>
      </c>
    </row>
    <row r="140" spans="1:43" ht="16.149999999999999" thickBot="1" x14ac:dyDescent="0.5">
      <c r="A140" s="313"/>
      <c r="B140" s="16" t="s">
        <v>9</v>
      </c>
      <c r="C140" s="116">
        <v>403</v>
      </c>
      <c r="D140" s="118">
        <f>SUM('Ene 25'!L137)-('Pago Cuota MC 2024'!F137)</f>
        <v>352.83458766645759</v>
      </c>
      <c r="E140" s="108">
        <f>SUM('Pago Cuota MC 2025'!F137)</f>
        <v>0</v>
      </c>
      <c r="F140" s="119">
        <f t="shared" si="8"/>
        <v>-352.83458766645759</v>
      </c>
      <c r="G140" s="118">
        <f>SUM('Feb 25'!L137)</f>
        <v>436.75351692537743</v>
      </c>
      <c r="H140" s="108">
        <f>SUM('Pago Cuota MC 2025'!G137)</f>
        <v>0</v>
      </c>
      <c r="I140" s="119">
        <f>SUM(-G140,H140)+Tabla3[[#This Row],[Saldo]]</f>
        <v>-789.58810459183496</v>
      </c>
      <c r="J140" s="118">
        <f>SUM('Mar 25'!L137)</f>
        <v>439.80689133587782</v>
      </c>
      <c r="K140" s="108">
        <f>SUM('Pago Cuota MC 2025'!H137)</f>
        <v>1230</v>
      </c>
      <c r="L140" s="119">
        <f>SUM(-J140,K140)+Tabla3[[#This Row],[Saldo4]]</f>
        <v>0.60500407228721542</v>
      </c>
      <c r="M140" s="122">
        <f>SUM('Abr 25'!L137)</f>
        <v>416.78453952228057</v>
      </c>
      <c r="N140" s="108">
        <f>SUM('Pago Cuota MC 2025'!I137)</f>
        <v>0</v>
      </c>
      <c r="O140" s="119">
        <f>SUM(-M140,N140)+Tabla3[[#This Row],[Saldo7]]</f>
        <v>-416.17953544999335</v>
      </c>
      <c r="P140" s="122">
        <f>SUM('May 25'!L137)</f>
        <v>434.73541912698414</v>
      </c>
      <c r="Q140" s="108">
        <f>SUM('Pago Cuota MC 2025'!J137)</f>
        <v>851</v>
      </c>
      <c r="R140" s="119">
        <f>SUM(-P140,Q140)+Tabla3[[#This Row],[Saldo13]]</f>
        <v>8.5045423022506839E-2</v>
      </c>
      <c r="S140" s="122">
        <f>SUM('Jun 25'!L137)</f>
        <v>417.5095403312713</v>
      </c>
      <c r="T140" s="108">
        <f>SUM('Pago Cuota MC 2025'!K137)</f>
        <v>0</v>
      </c>
      <c r="U140" s="119">
        <f>SUM(-S140,T140)+Tabla3[[#This Row],[Saldo132]]</f>
        <v>-417.42449490824879</v>
      </c>
      <c r="V140" s="122">
        <f>SUM('Jul 25'!L137)</f>
        <v>409.68498997408761</v>
      </c>
      <c r="W140" s="108">
        <f>SUM('Pago Cuota MC 2025'!L137)</f>
        <v>828</v>
      </c>
      <c r="X140" s="119">
        <f>SUM(-V140,W140)+Tabla3[[#This Row],[Saldo16]]</f>
        <v>0.89051511766359681</v>
      </c>
      <c r="Y140" s="122">
        <f>SUM('Ago 25'!L137)</f>
        <v>404.87393744365193</v>
      </c>
      <c r="Z140" s="108">
        <f>SUM('Pago Cuota MC 2025'!M137)</f>
        <v>0</v>
      </c>
      <c r="AA140" s="119">
        <f>SUM(-Y140,Z140)+Tabla3[[#This Row],[Saldo19]]</f>
        <v>-403.98342232598833</v>
      </c>
      <c r="AB140" s="122">
        <f>SUM('Sep 25'!L137)</f>
        <v>400.21411936908515</v>
      </c>
      <c r="AC140" s="108">
        <f>SUM('Pago Cuota MC 2025'!N137)</f>
        <v>805</v>
      </c>
      <c r="AD140" s="119">
        <f>SUM(-AB140,AC140)+Tabla3[[#This Row],[Saldo22]]</f>
        <v>0.80245830492651749</v>
      </c>
      <c r="AE140" s="122">
        <f>SUM('Oct 25'!L137)</f>
        <v>396.26597988092846</v>
      </c>
      <c r="AF140" s="108">
        <f>SUM('Pago Cuota MC 2025'!O137)</f>
        <v>0</v>
      </c>
      <c r="AG140" s="145">
        <f>SUM(-AE140,AF140)+Tabla3[[#This Row],[Saldo25]]</f>
        <v>-395.46352157600194</v>
      </c>
      <c r="AH140" s="122">
        <f>SUM('Nov 25'!L137)</f>
        <v>401.0231016876927</v>
      </c>
      <c r="AI140" s="108">
        <f>SUM('Pago Cuota MC 2025'!P137)</f>
        <v>796.5</v>
      </c>
      <c r="AJ140" s="119">
        <f>SUM(-AH140,AI140)+Tabla3[[#This Row],[Saldo28]]</f>
        <v>1.3376736305360737E-2</v>
      </c>
      <c r="AK140" s="122">
        <f>SUM('Dic 25'!L137)</f>
        <v>405.21145620971959</v>
      </c>
      <c r="AL140" s="108">
        <f>SUM('Pago Cuota MC 2025'!Q137)</f>
        <v>0</v>
      </c>
      <c r="AM140" s="145">
        <f>SUM(-AK140,AL140)+Tabla3[[#This Row],[Saldo31]]</f>
        <v>-405.19807947341423</v>
      </c>
      <c r="AN140" s="128">
        <f t="shared" si="9"/>
        <v>-405.19807947341423</v>
      </c>
      <c r="AO140" s="29"/>
      <c r="AP140" s="106">
        <f>SUM(Tabla3[[#This Row],[Saldo Anual]])</f>
        <v>-405.19807947341423</v>
      </c>
    </row>
    <row r="141" spans="1:43" ht="16.149999999999999" thickBot="1" x14ac:dyDescent="0.5">
      <c r="A141" s="313"/>
      <c r="B141" s="16" t="s">
        <v>9</v>
      </c>
      <c r="C141" s="116">
        <v>404</v>
      </c>
      <c r="D141" s="118">
        <f>SUM('Ene 25'!L138)-('Pago Cuota MC 2024'!F138)</f>
        <v>330.45240928266116</v>
      </c>
      <c r="E141" s="108">
        <f>SUM('Pago Cuota MC 2025'!F138)</f>
        <v>330.45</v>
      </c>
      <c r="F141" s="119">
        <f t="shared" si="8"/>
        <v>-2.4092826611763485E-3</v>
      </c>
      <c r="G141" s="118">
        <f>SUM('Feb 25'!L138)</f>
        <v>389.94182666619201</v>
      </c>
      <c r="H141" s="108">
        <f>SUM('Pago Cuota MC 2025'!G138)</f>
        <v>389.94</v>
      </c>
      <c r="I141" s="119">
        <f>SUM(-G141,H141)+Tabla3[[#This Row],[Saldo]]</f>
        <v>-4.2359488531928946E-3</v>
      </c>
      <c r="J141" s="118">
        <f>SUM('Mar 25'!L138)</f>
        <v>387.75086347328238</v>
      </c>
      <c r="K141" s="108">
        <f>SUM('Pago Cuota MC 2025'!H138)</f>
        <v>387.76</v>
      </c>
      <c r="L141" s="119">
        <f>SUM(-J141,K141)+Tabla3[[#This Row],[Saldo4]]</f>
        <v>4.9005778644186648E-3</v>
      </c>
      <c r="M141" s="122">
        <f>SUM('Abr 25'!L138)</f>
        <v>379.37822641661802</v>
      </c>
      <c r="N141" s="108">
        <f>SUM('Pago Cuota MC 2025'!I138)</f>
        <v>379.37</v>
      </c>
      <c r="O141" s="119">
        <f>SUM(-M141,N141)+Tabla3[[#This Row],[Saldo7]]</f>
        <v>-3.3258387535965994E-3</v>
      </c>
      <c r="P141" s="122">
        <f>SUM('May 25'!L138)</f>
        <v>416.41743460317463</v>
      </c>
      <c r="Q141" s="108">
        <f>SUM('Pago Cuota MC 2025'!J138)</f>
        <v>416.42</v>
      </c>
      <c r="R141" s="119">
        <f>SUM(-P141,Q141)+Tabla3[[#This Row],[Saldo13]]</f>
        <v>-7.6044192820745593E-4</v>
      </c>
      <c r="S141" s="122">
        <f>SUM('Jun 25'!L138)</f>
        <v>387.32719355881301</v>
      </c>
      <c r="T141" s="108">
        <f>SUM('Pago Cuota MC 2025'!K138)</f>
        <v>387.33</v>
      </c>
      <c r="U141" s="119">
        <f>SUM(-S141,T141)+Tabla3[[#This Row],[Saldo132]]</f>
        <v>2.0459992587689158E-3</v>
      </c>
      <c r="V141" s="122">
        <f>SUM('Jul 25'!L138)</f>
        <v>384.62777525085073</v>
      </c>
      <c r="W141" s="108">
        <f>SUM('Pago Cuota MC 2025'!L138)</f>
        <v>384.63</v>
      </c>
      <c r="X141" s="119">
        <f>SUM(-V141,W141)+Tabla3[[#This Row],[Saldo16]]</f>
        <v>4.2707484080324321E-3</v>
      </c>
      <c r="Y141" s="122">
        <f>SUM('Ago 25'!L138)</f>
        <v>393.62042372039946</v>
      </c>
      <c r="Z141" s="108">
        <f>SUM('Pago Cuota MC 2025'!M138)</f>
        <v>393.62</v>
      </c>
      <c r="AA141" s="119">
        <f>SUM(-Y141,Z141)+Tabla3[[#This Row],[Saldo19]]</f>
        <v>3.8470280085789454E-3</v>
      </c>
      <c r="AB141" s="122">
        <f>SUM('Sep 25'!L138)</f>
        <v>382.98120328075709</v>
      </c>
      <c r="AC141" s="108">
        <f>SUM('Pago Cuota MC 2025'!N138)</f>
        <v>383</v>
      </c>
      <c r="AD141" s="119">
        <f>SUM(-AB141,AC141)+Tabla3[[#This Row],[Saldo22]]</f>
        <v>2.2643747251493096E-2</v>
      </c>
      <c r="AE141" s="122">
        <f>SUM('Oct 25'!L138)</f>
        <v>379.11020318014579</v>
      </c>
      <c r="AF141" s="108">
        <f>SUM('Pago Cuota MC 2025'!O138)</f>
        <v>379.09</v>
      </c>
      <c r="AG141" s="145">
        <f>SUM(-AE141,AF141)+Tabla3[[#This Row],[Saldo25]]</f>
        <v>2.4405671056797473E-3</v>
      </c>
      <c r="AH141" s="122">
        <f>SUM('Nov 25'!L138)</f>
        <v>380.86924777684328</v>
      </c>
      <c r="AI141" s="108">
        <f>SUM('Pago Cuota MC 2025'!P138)</f>
        <v>380.87</v>
      </c>
      <c r="AJ141" s="119">
        <f>SUM(-AH141,AI141)+Tabla3[[#This Row],[Saldo28]]</f>
        <v>3.1927902624033777E-3</v>
      </c>
      <c r="AK141" s="122">
        <f>SUM('Dic 25'!L138)</f>
        <v>381.24380417764883</v>
      </c>
      <c r="AL141" s="108">
        <f>SUM('Pago Cuota MC 2025'!Q138)</f>
        <v>381.24</v>
      </c>
      <c r="AM141" s="145">
        <f>SUM(-AK141,AL141)+Tabla3[[#This Row],[Saldo31]]</f>
        <v>-6.1138738641375312E-4</v>
      </c>
      <c r="AN141" s="128">
        <f t="shared" si="9"/>
        <v>-6.1138738641375312E-4</v>
      </c>
      <c r="AO141" s="29"/>
      <c r="AP141" s="106" t="s">
        <v>12</v>
      </c>
    </row>
    <row r="142" spans="1:43" ht="16.149999999999999" thickBot="1" x14ac:dyDescent="0.5">
      <c r="A142" s="313"/>
      <c r="B142" s="16" t="s">
        <v>9</v>
      </c>
      <c r="C142" s="116">
        <v>501</v>
      </c>
      <c r="D142" s="118">
        <f>SUM('Ene 25'!L139)-('Pago Cuota MC 2024'!F139)</f>
        <v>338.2271981061167</v>
      </c>
      <c r="E142" s="108">
        <f>SUM('Pago Cuota MC 2025'!F139)</f>
        <v>338.23</v>
      </c>
      <c r="F142" s="119">
        <f t="shared" si="8"/>
        <v>2.8018938833156426E-3</v>
      </c>
      <c r="G142" s="118">
        <f>SUM('Feb 25'!L139)</f>
        <v>405.12600453574487</v>
      </c>
      <c r="H142" s="108">
        <f>SUM('Pago Cuota MC 2025'!G139)</f>
        <v>405.12</v>
      </c>
      <c r="I142" s="119">
        <f>SUM(-G142,H142)+Tabla3[[#This Row],[Saldo]]</f>
        <v>-3.2026418615487273E-3</v>
      </c>
      <c r="J142" s="118">
        <f>SUM('Mar 25'!L139)</f>
        <v>408.76904111777532</v>
      </c>
      <c r="K142" s="108">
        <f>SUM('Pago Cuota MC 2025'!H139)</f>
        <v>408.77</v>
      </c>
      <c r="L142" s="119">
        <f>SUM(-J142,K142)+Tabla3[[#This Row],[Saldo4]]</f>
        <v>-2.2437596368831692E-3</v>
      </c>
      <c r="M142" s="122">
        <f>SUM('Abr 25'!L139)</f>
        <v>399.73841879840433</v>
      </c>
      <c r="N142" s="108">
        <f>SUM('Pago Cuota MC 2025'!I139)</f>
        <v>399.6</v>
      </c>
      <c r="O142" s="119">
        <f>SUM(-M142,N142)+Tabla3[[#This Row],[Saldo7]]</f>
        <v>-0.14066255804118555</v>
      </c>
      <c r="P142" s="122">
        <f>SUM('May 25'!L139)</f>
        <v>412.26491912698413</v>
      </c>
      <c r="Q142" s="108">
        <f>SUM('Pago Cuota MC 2025'!J139)</f>
        <v>412.41</v>
      </c>
      <c r="R142" s="119">
        <f>SUM(-P142,Q142)+Tabla3[[#This Row],[Saldo13]]</f>
        <v>4.4183149747141215E-3</v>
      </c>
      <c r="S142" s="122">
        <f>SUM('Jun 25'!L139)</f>
        <v>406.97206265510135</v>
      </c>
      <c r="T142" s="108">
        <f>SUM('Pago Cuota MC 2025'!K139)</f>
        <v>406.97</v>
      </c>
      <c r="U142" s="119">
        <f>SUM(-S142,T142)+Tabla3[[#This Row],[Saldo132]]</f>
        <v>2.3556598733875944E-3</v>
      </c>
      <c r="V142" s="122">
        <f>SUM('Jul 25'!L139)</f>
        <v>437.38826538852987</v>
      </c>
      <c r="W142" s="108">
        <f>SUM('Pago Cuota MC 2025'!L139)</f>
        <v>437.39</v>
      </c>
      <c r="X142" s="119">
        <f>SUM(-V142,W142)+Tabla3[[#This Row],[Saldo16]]</f>
        <v>4.0902713435002624E-3</v>
      </c>
      <c r="Y142" s="122">
        <f>SUM('Ago 25'!L139)</f>
        <v>388.34167336376606</v>
      </c>
      <c r="Z142" s="108">
        <f>SUM('Pago Cuota MC 2025'!M139)</f>
        <v>400</v>
      </c>
      <c r="AA142" s="119">
        <f>SUM(-Y142,Z142)+Tabla3[[#This Row],[Saldo19]]</f>
        <v>11.662416907577438</v>
      </c>
      <c r="AB142" s="122">
        <f>SUM('Sep 25'!L139)</f>
        <v>375.4386468138801</v>
      </c>
      <c r="AC142" s="108">
        <f>SUM('Pago Cuota MC 2025'!N139)</f>
        <v>363.78</v>
      </c>
      <c r="AD142" s="119">
        <f>SUM(-AB142,AC142)+Tabla3[[#This Row],[Saldo22]]</f>
        <v>3.7700936973124044E-3</v>
      </c>
      <c r="AE142" s="122">
        <f>SUM('Oct 25'!L139)</f>
        <v>371.60140932102479</v>
      </c>
      <c r="AF142" s="108">
        <f>SUM('Pago Cuota MC 2025'!O139)</f>
        <v>371.6</v>
      </c>
      <c r="AG142" s="145">
        <f>SUM(-AE142,AF142)+Tabla3[[#This Row],[Saldo25]]</f>
        <v>2.3607726725458633E-3</v>
      </c>
      <c r="AH142" s="122">
        <f>SUM('Nov 25'!L139)</f>
        <v>385.81144752453042</v>
      </c>
      <c r="AI142" s="108">
        <f>SUM('Pago Cuota MC 2025'!P139)</f>
        <v>0</v>
      </c>
      <c r="AJ142" s="119">
        <f>SUM(-AH142,AI142)+Tabla3[[#This Row],[Saldo28]]</f>
        <v>-385.80908675185788</v>
      </c>
      <c r="AK142" s="122">
        <f>SUM('Dic 25'!L139)</f>
        <v>381.25166500153597</v>
      </c>
      <c r="AL142" s="108">
        <f>SUM('Pago Cuota MC 2025'!Q139)</f>
        <v>767.06</v>
      </c>
      <c r="AM142" s="145">
        <f>SUM(-AK142,AL142)+Tabla3[[#This Row],[Saldo31]]</f>
        <v>-7.5175339389943474E-4</v>
      </c>
      <c r="AN142" s="128">
        <f t="shared" si="9"/>
        <v>-7.5175339389943474E-4</v>
      </c>
      <c r="AO142" s="29"/>
      <c r="AP142" s="106" t="s">
        <v>12</v>
      </c>
    </row>
    <row r="143" spans="1:43" ht="16.149999999999999" thickBot="1" x14ac:dyDescent="0.5">
      <c r="A143" s="313"/>
      <c r="B143" s="16" t="s">
        <v>9</v>
      </c>
      <c r="C143" s="116">
        <v>502</v>
      </c>
      <c r="D143" s="118">
        <f>SUM('Ene 25'!L140)-('Pago Cuota MC 2024'!F140)</f>
        <v>320.35523879553585</v>
      </c>
      <c r="E143" s="108">
        <f>SUM('Pago Cuota MC 2025'!F140)</f>
        <v>320.36</v>
      </c>
      <c r="F143" s="119">
        <f t="shared" si="8"/>
        <v>4.7612044641596185E-3</v>
      </c>
      <c r="G143" s="118">
        <f>SUM('Feb 25'!L140)</f>
        <v>341.2805056750214</v>
      </c>
      <c r="H143" s="108">
        <f>SUM('Pago Cuota MC 2025'!G140)</f>
        <v>341.28</v>
      </c>
      <c r="I143" s="119">
        <f>SUM(-G143,H143)+Tabla3[[#This Row],[Saldo]]</f>
        <v>4.2555294427302215E-3</v>
      </c>
      <c r="J143" s="118">
        <f>SUM('Mar 25'!L140)</f>
        <v>352.88712852235545</v>
      </c>
      <c r="K143" s="108">
        <f>SUM('Pago Cuota MC 2025'!H140)</f>
        <v>352.88</v>
      </c>
      <c r="L143" s="119">
        <f>SUM(-J143,K143)+Tabla3[[#This Row],[Saldo4]]</f>
        <v>-2.8729929127280229E-3</v>
      </c>
      <c r="M143" s="122">
        <f>SUM('Abr 25'!L140)</f>
        <v>354.63451348608675</v>
      </c>
      <c r="N143" s="108">
        <f>SUM('Pago Cuota MC 2025'!I140)</f>
        <v>354.64</v>
      </c>
      <c r="O143" s="119">
        <f>SUM(-M143,N143)+Tabla3[[#This Row],[Saldo7]]</f>
        <v>2.6135210005122644E-3</v>
      </c>
      <c r="P143" s="122">
        <f>SUM('May 25'!L140)</f>
        <v>367.63669531746029</v>
      </c>
      <c r="Q143" s="108">
        <f>SUM('Pago Cuota MC 2025'!J140)</f>
        <v>367.63</v>
      </c>
      <c r="R143" s="119">
        <f>SUM(-P143,Q143)+Tabla3[[#This Row],[Saldo13]]</f>
        <v>-4.0817964597863465E-3</v>
      </c>
      <c r="S143" s="122">
        <f>SUM('Jun 25'!L140)</f>
        <v>355.49291889501524</v>
      </c>
      <c r="T143" s="108">
        <f>SUM('Pago Cuota MC 2025'!K140)</f>
        <v>355.5</v>
      </c>
      <c r="U143" s="119">
        <f>SUM(-S143,T143)+Tabla3[[#This Row],[Saldo132]]</f>
        <v>2.9993085249770957E-3</v>
      </c>
      <c r="V143" s="122">
        <f>SUM('Jul 25'!L140)</f>
        <v>353.32977738628205</v>
      </c>
      <c r="W143" s="108">
        <f>SUM('Pago Cuota MC 2025'!L140)</f>
        <v>353.33</v>
      </c>
      <c r="X143" s="119">
        <f>SUM(-V143,W143)+Tabla3[[#This Row],[Saldo16]]</f>
        <v>3.2219222429148431E-3</v>
      </c>
      <c r="Y143" s="122">
        <f>SUM('Ago 25'!L140)</f>
        <v>342.08026931241085</v>
      </c>
      <c r="Z143" s="108">
        <f>SUM('Pago Cuota MC 2025'!M140)</f>
        <v>342.08</v>
      </c>
      <c r="AA143" s="119">
        <f>SUM(-Y143,Z143)+Tabla3[[#This Row],[Saldo19]]</f>
        <v>2.952609832050257E-3</v>
      </c>
      <c r="AB143" s="122">
        <f>SUM('Sep 25'!L140)</f>
        <v>345.08199318611986</v>
      </c>
      <c r="AC143" s="108">
        <f>SUM('Pago Cuota MC 2025'!N140)</f>
        <v>345.08</v>
      </c>
      <c r="AD143" s="119">
        <f>SUM(-AB143,AC143)+Tabla3[[#This Row],[Saldo22]]</f>
        <v>9.5942371217461186E-4</v>
      </c>
      <c r="AE143" s="122">
        <f>SUM('Oct 25'!L140)</f>
        <v>341.38064062746668</v>
      </c>
      <c r="AF143" s="108">
        <f>SUM('Pago Cuota MC 2025'!O140)</f>
        <v>341.38</v>
      </c>
      <c r="AG143" s="145">
        <f>SUM(-AE143,AF143)+Tabla3[[#This Row],[Saldo25]]</f>
        <v>3.1879624549446817E-4</v>
      </c>
      <c r="AH143" s="122">
        <f>SUM('Nov 25'!L140)</f>
        <v>358.76233179702831</v>
      </c>
      <c r="AI143" s="108">
        <f>SUM('Pago Cuota MC 2025'!P140)</f>
        <v>358.76</v>
      </c>
      <c r="AJ143" s="119">
        <f>SUM(-AH143,AI143)+Tabla3[[#This Row],[Saldo28]]</f>
        <v>-2.0130007828242924E-3</v>
      </c>
      <c r="AK143" s="122">
        <f>SUM('Dic 25'!L140)</f>
        <v>347.31255786855286</v>
      </c>
      <c r="AL143" s="108">
        <f>SUM('Pago Cuota MC 2025'!Q140)</f>
        <v>0</v>
      </c>
      <c r="AM143" s="145">
        <f>SUM(-AK143,AL143)+Tabla3[[#This Row],[Saldo31]]</f>
        <v>-347.31457086933568</v>
      </c>
      <c r="AN143" s="128">
        <f t="shared" si="9"/>
        <v>-347.31457086933568</v>
      </c>
      <c r="AO143" s="29"/>
      <c r="AP143" s="106">
        <f>SUM(Tabla3[[#This Row],[Saldo Anual]])</f>
        <v>-347.31457086933568</v>
      </c>
    </row>
    <row r="144" spans="1:43" ht="16.149999999999999" thickBot="1" x14ac:dyDescent="0.5">
      <c r="A144" s="313"/>
      <c r="B144" s="16" t="s">
        <v>9</v>
      </c>
      <c r="C144" s="116">
        <v>503</v>
      </c>
      <c r="D144" s="118">
        <f>SUM('Ene 25'!L141)-('Pago Cuota MC 2024'!F141)</f>
        <v>317.66905179297316</v>
      </c>
      <c r="E144" s="108">
        <f>SUM('Pago Cuota MC 2025'!F141)</f>
        <v>317.67</v>
      </c>
      <c r="F144" s="119">
        <f t="shared" si="8"/>
        <v>9.4820702685183278E-4</v>
      </c>
      <c r="G144" s="118">
        <f>SUM('Feb 25'!L141)</f>
        <v>336.90083036884079</v>
      </c>
      <c r="H144" s="108">
        <f>SUM('Pago Cuota MC 2025'!G141)</f>
        <v>336.9</v>
      </c>
      <c r="I144" s="119">
        <f>SUM(-G144,H144)+Tabla3[[#This Row],[Saldo]]</f>
        <v>1.1783818604271801E-4</v>
      </c>
      <c r="J144" s="118">
        <f>SUM('Mar 25'!L141)</f>
        <v>340.23372917666296</v>
      </c>
      <c r="K144" s="108">
        <f>SUM('Pago Cuota MC 2025'!H141)</f>
        <v>340.23</v>
      </c>
      <c r="L144" s="119">
        <f>SUM(-J144,K144)+Tabla3[[#This Row],[Saldo4]]</f>
        <v>-3.6113384769009826E-3</v>
      </c>
      <c r="M144" s="122">
        <f>SUM('Abr 25'!L141)</f>
        <v>332.21675023448137</v>
      </c>
      <c r="N144" s="108">
        <f>SUM('Pago Cuota MC 2025'!I141)</f>
        <v>322.22000000000003</v>
      </c>
      <c r="O144" s="119">
        <f>SUM(-M144,N144)+Tabla3[[#This Row],[Saldo7]]</f>
        <v>-10.000361572958241</v>
      </c>
      <c r="P144" s="122">
        <f>SUM('May 25'!L141)</f>
        <v>372.58761317460318</v>
      </c>
      <c r="Q144" s="108">
        <f>SUM('Pago Cuota MC 2025'!J141)</f>
        <v>382.59</v>
      </c>
      <c r="R144" s="119">
        <f>SUM(-P144,Q144)+Tabla3[[#This Row],[Saldo13]]</f>
        <v>2.0252524385568904E-3</v>
      </c>
      <c r="S144" s="122">
        <f>SUM('Jun 25'!L141)</f>
        <v>362.82953869060429</v>
      </c>
      <c r="T144" s="108">
        <f>SUM('Pago Cuota MC 2025'!K141)</f>
        <v>362.83</v>
      </c>
      <c r="U144" s="119">
        <f>SUM(-S144,T144)+Tabla3[[#This Row],[Saldo132]]</f>
        <v>2.4865618342460039E-3</v>
      </c>
      <c r="V144" s="122">
        <f>SUM('Jul 25'!L141)</f>
        <v>355.79943403140709</v>
      </c>
      <c r="W144" s="108">
        <f>SUM('Pago Cuota MC 2025'!L141)</f>
        <v>355.8</v>
      </c>
      <c r="X144" s="119">
        <f>SUM(-V144,W144)+Tabla3[[#This Row],[Saldo16]]</f>
        <v>3.0525304271691311E-3</v>
      </c>
      <c r="Y144" s="122">
        <f>SUM('Ago 25'!L141)</f>
        <v>360.97037521825962</v>
      </c>
      <c r="Z144" s="108">
        <f>SUM('Pago Cuota MC 2025'!M141)</f>
        <v>360.67</v>
      </c>
      <c r="AA144" s="119">
        <f>SUM(-Y144,Z144)+Tabla3[[#This Row],[Saldo19]]</f>
        <v>-0.29732268783243399</v>
      </c>
      <c r="AB144" s="122">
        <f>SUM('Sep 25'!L141)</f>
        <v>358.59023798107251</v>
      </c>
      <c r="AC144" s="108">
        <f>SUM('Pago Cuota MC 2025'!N141)</f>
        <v>358.89</v>
      </c>
      <c r="AD144" s="119">
        <f>SUM(-AB144,AC144)+Tabla3[[#This Row],[Saldo22]]</f>
        <v>2.4393310950472369E-3</v>
      </c>
      <c r="AE144" s="122">
        <f>SUM('Oct 25'!L141)</f>
        <v>354.82841871295739</v>
      </c>
      <c r="AF144" s="108">
        <f>SUM('Pago Cuota MC 2025'!O141)</f>
        <v>354.83</v>
      </c>
      <c r="AG144" s="145">
        <f>SUM(-AE144,AF144)+Tabla3[[#This Row],[Saldo25]]</f>
        <v>4.0206181376447603E-3</v>
      </c>
      <c r="AH144" s="122">
        <f>SUM('Nov 25'!L141)</f>
        <v>382.91758116624612</v>
      </c>
      <c r="AI144" s="108">
        <f>SUM('Pago Cuota MC 2025'!P141)</f>
        <v>382.91</v>
      </c>
      <c r="AJ144" s="119">
        <f>SUM(-AH144,AI144)+Tabla3[[#This Row],[Saldo28]]</f>
        <v>-3.5605481084530766E-3</v>
      </c>
      <c r="AK144" s="122">
        <f>SUM('Dic 25'!L141)</f>
        <v>369.32286475271098</v>
      </c>
      <c r="AL144" s="108">
        <f>SUM('Pago Cuota MC 2025'!Q141)</f>
        <v>0</v>
      </c>
      <c r="AM144" s="145">
        <f>SUM(-AK144,AL144)+Tabla3[[#This Row],[Saldo31]]</f>
        <v>-369.32642530081944</v>
      </c>
      <c r="AN144" s="128">
        <f t="shared" si="9"/>
        <v>-369.32642530081944</v>
      </c>
      <c r="AO144" s="29"/>
      <c r="AP144" s="106">
        <f>SUM(Tabla3[[#This Row],[Saldo Anual]])</f>
        <v>-369.32642530081944</v>
      </c>
    </row>
    <row r="145" spans="1:43" ht="16.149999999999999" thickBot="1" x14ac:dyDescent="0.5">
      <c r="A145" s="313"/>
      <c r="B145" s="16" t="s">
        <v>9</v>
      </c>
      <c r="C145" s="116">
        <v>504</v>
      </c>
      <c r="D145" s="118">
        <f>SUM('Ene 25'!L142)-('Pago Cuota MC 2024'!F142)</f>
        <v>318.50286842945678</v>
      </c>
      <c r="E145" s="108">
        <f>SUM('Pago Cuota MC 2025'!F142)</f>
        <v>317.7</v>
      </c>
      <c r="F145" s="119">
        <f t="shared" si="8"/>
        <v>-0.80286842945679382</v>
      </c>
      <c r="G145" s="118">
        <f>SUM('Feb 25'!L142)</f>
        <v>343.61502903019084</v>
      </c>
      <c r="H145" s="108">
        <f>SUM('Pago Cuota MC 2025'!G142)</f>
        <v>340</v>
      </c>
      <c r="I145" s="119">
        <f>SUM(-G145,H145)+Tabla3[[#This Row],[Saldo]]</f>
        <v>-4.4178974596476337</v>
      </c>
      <c r="J145" s="118">
        <f>SUM('Mar 25'!L142)</f>
        <v>348.56309684296616</v>
      </c>
      <c r="K145" s="108">
        <f>SUM('Pago Cuota MC 2025'!H142)</f>
        <v>353</v>
      </c>
      <c r="L145" s="119">
        <f>SUM(-J145,K145)+Tabla3[[#This Row],[Saldo4]]</f>
        <v>1.9005697386205611E-2</v>
      </c>
      <c r="M145" s="122">
        <f>SUM('Abr 25'!L142)</f>
        <v>341.62627393559058</v>
      </c>
      <c r="N145" s="108">
        <f>SUM('Pago Cuota MC 2025'!I142)</f>
        <v>345</v>
      </c>
      <c r="O145" s="119">
        <f>SUM(-M145,N145)+Tabla3[[#This Row],[Saldo7]]</f>
        <v>3.3927317617956305</v>
      </c>
      <c r="P145" s="122">
        <f>SUM('May 25'!L142)</f>
        <v>360.41403460317463</v>
      </c>
      <c r="Q145" s="108">
        <f>SUM('Pago Cuota MC 2025'!J142)</f>
        <v>357</v>
      </c>
      <c r="R145" s="119">
        <f>SUM(-P145,Q145)+Tabla3[[#This Row],[Saldo13]]</f>
        <v>-2.1302841378997073E-2</v>
      </c>
      <c r="S145" s="122">
        <f>SUM('Jun 25'!L142)</f>
        <v>349.13874062712927</v>
      </c>
      <c r="T145" s="108">
        <f>SUM('Pago Cuota MC 2025'!K142)</f>
        <v>349</v>
      </c>
      <c r="U145" s="119">
        <f>SUM(-S145,T145)+Tabla3[[#This Row],[Saldo132]]</f>
        <v>-0.16004346850826323</v>
      </c>
      <c r="V145" s="122">
        <f>SUM('Jul 25'!L142)</f>
        <v>346.92043037869564</v>
      </c>
      <c r="W145" s="108">
        <f>SUM('Pago Cuota MC 2025'!L142)</f>
        <v>347</v>
      </c>
      <c r="X145" s="119">
        <f>SUM(-V145,W145)+Tabla3[[#This Row],[Saldo16]]</f>
        <v>-8.0473847203904825E-2</v>
      </c>
      <c r="Y145" s="122">
        <f>SUM('Ago 25'!L142)</f>
        <v>339.34704968330959</v>
      </c>
      <c r="Z145" s="108">
        <f>SUM('Pago Cuota MC 2025'!M142)</f>
        <v>340</v>
      </c>
      <c r="AA145" s="119">
        <f>SUM(-Y145,Z145)+Tabla3[[#This Row],[Saldo19]]</f>
        <v>0.57247646948650299</v>
      </c>
      <c r="AB145" s="122">
        <f>SUM('Sep 25'!L142)</f>
        <v>345.19851053627758</v>
      </c>
      <c r="AC145" s="108">
        <f>SUM('Pago Cuota MC 2025'!N142)</f>
        <v>345</v>
      </c>
      <c r="AD145" s="119">
        <f>SUM(-AB145,AC145)+Tabla3[[#This Row],[Saldo22]]</f>
        <v>0.3739659332089218</v>
      </c>
      <c r="AE145" s="122">
        <f>SUM('Oct 25'!L142)</f>
        <v>341.49663641313799</v>
      </c>
      <c r="AF145" s="108">
        <f>SUM('Pago Cuota MC 2025'!O142)</f>
        <v>341</v>
      </c>
      <c r="AG145" s="145">
        <f>SUM(-AE145,AF145)+Tabla3[[#This Row],[Saldo25]]</f>
        <v>-0.1226704799290701</v>
      </c>
      <c r="AH145" s="122">
        <f>SUM('Nov 25'!L142)</f>
        <v>359.0402064816372</v>
      </c>
      <c r="AI145" s="108">
        <f>SUM('Pago Cuota MC 2025'!P142)</f>
        <v>359</v>
      </c>
      <c r="AJ145" s="119">
        <f>SUM(-AH145,AI145)+Tabla3[[#This Row],[Saldo28]]</f>
        <v>-0.16287696156626907</v>
      </c>
      <c r="AK145" s="122">
        <f>SUM('Dic 25'!L142)</f>
        <v>349.89090810355424</v>
      </c>
      <c r="AL145" s="108">
        <f>SUM('Pago Cuota MC 2025'!Q142)</f>
        <v>0</v>
      </c>
      <c r="AM145" s="145">
        <f>SUM(-AK145,AL145)+Tabla3[[#This Row],[Saldo31]]</f>
        <v>-350.05378506512051</v>
      </c>
      <c r="AN145" s="128">
        <f t="shared" si="9"/>
        <v>-350.05378506512051</v>
      </c>
      <c r="AO145" s="29"/>
      <c r="AP145" s="106">
        <f>SUM(Tabla3[[#This Row],[Saldo Anual]])</f>
        <v>-350.05378506512051</v>
      </c>
    </row>
    <row r="146" spans="1:43" ht="16.149999999999999" thickBot="1" x14ac:dyDescent="0.5">
      <c r="A146" s="312"/>
      <c r="B146" s="16" t="s">
        <v>10</v>
      </c>
      <c r="C146" s="116">
        <v>101</v>
      </c>
      <c r="D146" s="118">
        <f>SUM('Ene 25'!L143)-('Pago Cuota MC 2024'!F143)</f>
        <v>337.63709588639506</v>
      </c>
      <c r="E146" s="108">
        <f>SUM('Pago Cuota MC 2025'!F143)</f>
        <v>337.64</v>
      </c>
      <c r="F146" s="119">
        <f t="shared" si="8"/>
        <v>2.9041136049272609E-3</v>
      </c>
      <c r="G146" s="118">
        <f>SUM('Feb 25'!L143)</f>
        <v>388.1078376317289</v>
      </c>
      <c r="H146" s="108">
        <f>SUM('Pago Cuota MC 2025'!G143)</f>
        <v>388.1</v>
      </c>
      <c r="I146" s="119">
        <f>SUM(-G146,H146)+Tabla3[[#This Row],[Saldo]]</f>
        <v>-4.9335181239484882E-3</v>
      </c>
      <c r="J146" s="118">
        <f>SUM('Mar 25'!L143)</f>
        <v>388.81318244820056</v>
      </c>
      <c r="K146" s="108">
        <f>SUM('Pago Cuota MC 2025'!H143)</f>
        <v>0</v>
      </c>
      <c r="L146" s="119">
        <f>SUM(-J146,K146)+Tabla3[[#This Row],[Saldo4]]</f>
        <v>-388.81811596632451</v>
      </c>
      <c r="M146" s="122">
        <f>SUM('Abr 25'!L143)</f>
        <v>397.25794798696245</v>
      </c>
      <c r="N146" s="108">
        <f>SUM('Pago Cuota MC 2025'!I143)</f>
        <v>786.08</v>
      </c>
      <c r="O146" s="119">
        <f>SUM(-M146,N146)+Tabla3[[#This Row],[Saldo7]]</f>
        <v>3.9360467130791221E-3</v>
      </c>
      <c r="P146" s="122">
        <f>SUM('May 25'!L143)</f>
        <v>425.83775960317462</v>
      </c>
      <c r="Q146" s="108">
        <f>SUM('Pago Cuota MC 2025'!J143)</f>
        <v>425.83</v>
      </c>
      <c r="R146" s="119">
        <f>SUM(-P146,Q146)+Tabla3[[#This Row],[Saldo13]]</f>
        <v>-3.8235564615547446E-3</v>
      </c>
      <c r="S146" s="122">
        <f>SUM('Jun 25'!L143)</f>
        <v>404.03266098753812</v>
      </c>
      <c r="T146" s="108">
        <f>SUM('Pago Cuota MC 2025'!K143)</f>
        <v>430</v>
      </c>
      <c r="U146" s="119">
        <f>SUM(-S146,T146)+Tabla3[[#This Row],[Saldo132]]</f>
        <v>25.963515456000323</v>
      </c>
      <c r="V146" s="122">
        <f>SUM('Jul 25'!L143)</f>
        <v>391.87210140988418</v>
      </c>
      <c r="W146" s="108">
        <f>SUM('Pago Cuota MC 2025'!L143)</f>
        <v>366</v>
      </c>
      <c r="X146" s="119">
        <f>SUM(-V146,W146)+Tabla3[[#This Row],[Saldo16]]</f>
        <v>9.1414046116142345E-2</v>
      </c>
      <c r="Y146" s="122">
        <f>SUM('Ago 25'!L143)</f>
        <v>387.6300196119829</v>
      </c>
      <c r="Z146" s="108">
        <f>SUM('Pago Cuota MC 2025'!M143)</f>
        <v>388</v>
      </c>
      <c r="AA146" s="119">
        <f>SUM(-Y146,Z146)+Tabla3[[#This Row],[Saldo19]]</f>
        <v>0.46139443413323988</v>
      </c>
      <c r="AB146" s="122">
        <f>SUM('Sep 25'!L143)</f>
        <v>411.1240272555205</v>
      </c>
      <c r="AC146" s="108">
        <f>SUM('Pago Cuota MC 2025'!N143)</f>
        <v>410.66</v>
      </c>
      <c r="AD146" s="119">
        <f>SUM(-AB146,AC146)+Tabla3[[#This Row],[Saldo22]]</f>
        <v>-2.6328213872375272E-3</v>
      </c>
      <c r="AE146" s="122">
        <f>SUM('Oct 25'!L143)</f>
        <v>407.12705194594957</v>
      </c>
      <c r="AF146" s="108">
        <f>SUM('Pago Cuota MC 2025'!O143)</f>
        <v>407.13</v>
      </c>
      <c r="AG146" s="145">
        <f>SUM(-AE146,AF146)+Tabla3[[#This Row],[Saldo25]]</f>
        <v>3.1523266318345122E-4</v>
      </c>
      <c r="AH146" s="122">
        <f>SUM('Nov 25'!L143)</f>
        <v>398.49841169610318</v>
      </c>
      <c r="AI146" s="108">
        <f>SUM('Pago Cuota MC 2025'!P143)</f>
        <v>398.5</v>
      </c>
      <c r="AJ146" s="119">
        <f>SUM(-AH146,AI146)+Tabla3[[#This Row],[Saldo28]]</f>
        <v>1.9035365600075238E-3</v>
      </c>
      <c r="AK146" s="122">
        <f>SUM('Dic 25'!L143)</f>
        <v>411.12672618483703</v>
      </c>
      <c r="AL146" s="108">
        <f>SUM('Pago Cuota MC 2025'!Q143)</f>
        <v>0</v>
      </c>
      <c r="AM146" s="145">
        <f>SUM(-AK146,AL146)+Tabla3[[#This Row],[Saldo31]]</f>
        <v>-411.12482264827702</v>
      </c>
      <c r="AN146" s="128">
        <f t="shared" si="9"/>
        <v>-411.12482264827702</v>
      </c>
      <c r="AO146" s="29"/>
      <c r="AP146" s="106">
        <f>SUM(Tabla3[[#This Row],[Saldo Anual]])</f>
        <v>-411.12482264827702</v>
      </c>
    </row>
    <row r="147" spans="1:43" ht="16.149999999999999" thickBot="1" x14ac:dyDescent="0.5">
      <c r="A147" s="312"/>
      <c r="B147" s="16" t="s">
        <v>10</v>
      </c>
      <c r="C147" s="116">
        <v>102</v>
      </c>
      <c r="D147" s="118">
        <f>SUM('Ene 25'!L144)-('Pago Cuota MC 2024'!F144)</f>
        <v>321.01133008212463</v>
      </c>
      <c r="E147" s="108">
        <f>SUM('Pago Cuota MC 2025'!F144)</f>
        <v>321</v>
      </c>
      <c r="F147" s="119">
        <f t="shared" si="8"/>
        <v>-1.1330082124629826E-2</v>
      </c>
      <c r="G147" s="118">
        <f>SUM('Feb 25'!L144)</f>
        <v>361.68510009256624</v>
      </c>
      <c r="H147" s="108">
        <f>SUM('Pago Cuota MC 2025'!G144)</f>
        <v>362</v>
      </c>
      <c r="I147" s="119">
        <f>SUM(-G147,H147)+Tabla3[[#This Row],[Saldo]]</f>
        <v>0.30356982530912546</v>
      </c>
      <c r="J147" s="118">
        <f>SUM('Mar 25'!L144)</f>
        <v>359.81580894765534</v>
      </c>
      <c r="K147" s="108">
        <f>SUM('Pago Cuota MC 2025'!H144)</f>
        <v>359.6</v>
      </c>
      <c r="L147" s="119">
        <f>SUM(-J147,K147)+Tabla3[[#This Row],[Saldo4]]</f>
        <v>8.7760877653806801E-2</v>
      </c>
      <c r="M147" s="122">
        <f>SUM('Abr 25'!L144)</f>
        <v>357.45655732730103</v>
      </c>
      <c r="N147" s="108">
        <f>SUM('Pago Cuota MC 2025'!I144)</f>
        <v>358</v>
      </c>
      <c r="O147" s="119">
        <f>SUM(-M147,N147)+Tabla3[[#This Row],[Saldo7]]</f>
        <v>0.63120355035277953</v>
      </c>
      <c r="P147" s="122">
        <f>SUM('May 25'!L144)</f>
        <v>365.01925246031749</v>
      </c>
      <c r="Q147" s="108">
        <f>SUM('Pago Cuota MC 2025'!J144)</f>
        <v>365</v>
      </c>
      <c r="R147" s="119">
        <f>SUM(-P147,Q147)+Tabla3[[#This Row],[Saldo13]]</f>
        <v>0.61195109003529069</v>
      </c>
      <c r="S147" s="122">
        <f>SUM('Jun 25'!L144)</f>
        <v>341.63970106284739</v>
      </c>
      <c r="T147" s="108">
        <f>SUM('Pago Cuota MC 2025'!K144)</f>
        <v>341.03</v>
      </c>
      <c r="U147" s="119">
        <f>SUM(-S147,T147)+Tabla3[[#This Row],[Saldo132]]</f>
        <v>2.2500271878698186E-3</v>
      </c>
      <c r="V147" s="122">
        <f>SUM('Jul 25'!L144)</f>
        <v>338.31191292997408</v>
      </c>
      <c r="W147" s="108">
        <f>SUM('Pago Cuota MC 2025'!L144)</f>
        <v>339</v>
      </c>
      <c r="X147" s="119">
        <f>SUM(-V147,W147)+Tabla3[[#This Row],[Saldo16]]</f>
        <v>0.690337097213785</v>
      </c>
      <c r="Y147" s="122">
        <f>SUM('Ago 25'!L144)</f>
        <v>340.3324164165478</v>
      </c>
      <c r="Z147" s="108">
        <f>SUM('Pago Cuota MC 2025'!M144)</f>
        <v>340</v>
      </c>
      <c r="AA147" s="119">
        <f>SUM(-Y147,Z147)+Tabla3[[#This Row],[Saldo19]]</f>
        <v>0.35792068066598404</v>
      </c>
      <c r="AB147" s="122">
        <f>SUM('Sep 25'!L144)</f>
        <v>330.26098624605675</v>
      </c>
      <c r="AC147" s="108">
        <f>SUM('Pago Cuota MC 2025'!N144)</f>
        <v>329.9</v>
      </c>
      <c r="AD147" s="119">
        <f>SUM(-AB147,AC147)+Tabla3[[#This Row],[Saldo22]]</f>
        <v>-3.0655653907842861E-3</v>
      </c>
      <c r="AE147" s="122">
        <f>SUM('Oct 25'!L144)</f>
        <v>326.6259766900796</v>
      </c>
      <c r="AF147" s="108">
        <f>SUM('Pago Cuota MC 2025'!O144)</f>
        <v>326.63</v>
      </c>
      <c r="AG147" s="145">
        <f>SUM(-AE147,AF147)+Tabla3[[#This Row],[Saldo25]]</f>
        <v>9.5774452961450152E-4</v>
      </c>
      <c r="AH147" s="122">
        <f>SUM('Nov 25'!L144)</f>
        <v>341.17683389963554</v>
      </c>
      <c r="AI147" s="108">
        <f>SUM('Pago Cuota MC 2025'!P144)</f>
        <v>342</v>
      </c>
      <c r="AJ147" s="119">
        <f>SUM(-AH147,AI147)+Tabla3[[#This Row],[Saldo28]]</f>
        <v>0.82412384489407486</v>
      </c>
      <c r="AK147" s="122">
        <f>SUM('Dic 25'!L144)</f>
        <v>339.89587053098029</v>
      </c>
      <c r="AL147" s="108">
        <f>SUM('Pago Cuota MC 2025'!Q144)</f>
        <v>339.07</v>
      </c>
      <c r="AM147" s="145">
        <f>SUM(-AK147,AL147)+Tabla3[[#This Row],[Saldo31]]</f>
        <v>-1.7466860862214162E-3</v>
      </c>
      <c r="AN147" s="128">
        <f t="shared" si="9"/>
        <v>-1.7466860862214162E-3</v>
      </c>
      <c r="AO147" s="29"/>
      <c r="AP147" s="106" t="s">
        <v>12</v>
      </c>
    </row>
    <row r="148" spans="1:43" ht="16.149999999999999" thickBot="1" x14ac:dyDescent="0.5">
      <c r="A148" s="312"/>
      <c r="B148" s="16" t="s">
        <v>10</v>
      </c>
      <c r="C148" s="116">
        <v>103</v>
      </c>
      <c r="D148" s="118">
        <f>SUM('Ene 25'!L145)-('Pago Cuota MC 2024'!F145)</f>
        <v>320.8036644627922</v>
      </c>
      <c r="E148" s="108">
        <f>SUM('Pago Cuota MC 2025'!F145)</f>
        <v>320.8</v>
      </c>
      <c r="F148" s="119">
        <f t="shared" si="8"/>
        <v>-3.6644627921873507E-3</v>
      </c>
      <c r="G148" s="118">
        <f>SUM('Feb 25'!L145)</f>
        <v>370.84331399174027</v>
      </c>
      <c r="H148" s="108">
        <f>SUM('Pago Cuota MC 2025'!G145)</f>
        <v>370.85</v>
      </c>
      <c r="I148" s="119">
        <f>SUM(-G148,H148)+Tabla3[[#This Row],[Saldo]]</f>
        <v>3.0215454675612818E-3</v>
      </c>
      <c r="J148" s="118">
        <f>SUM('Mar 25'!L145)</f>
        <v>365.54839689749178</v>
      </c>
      <c r="K148" s="108">
        <f>SUM('Pago Cuota MC 2025'!H145)</f>
        <v>365.55</v>
      </c>
      <c r="L148" s="119">
        <f>SUM(-J148,K148)+Tabla3[[#This Row],[Saldo4]]</f>
        <v>4.6246479757883208E-3</v>
      </c>
      <c r="M148" s="122">
        <f>SUM('Abr 25'!L145)</f>
        <v>363.10877770091457</v>
      </c>
      <c r="N148" s="108">
        <f>SUM('Pago Cuota MC 2025'!I145)</f>
        <v>363.1</v>
      </c>
      <c r="O148" s="119">
        <f>SUM(-M148,N148)+Tabla3[[#This Row],[Saldo7]]</f>
        <v>-4.1530529387614479E-3</v>
      </c>
      <c r="P148" s="122">
        <f>SUM('May 25'!L145)</f>
        <v>379.69915603174604</v>
      </c>
      <c r="Q148" s="108">
        <f>SUM('Pago Cuota MC 2025'!J145)</f>
        <v>379.7</v>
      </c>
      <c r="R148" s="119">
        <f>SUM(-P148,Q148)+Tabla3[[#This Row],[Saldo13]]</f>
        <v>-3.3090846848153888E-3</v>
      </c>
      <c r="S148" s="122">
        <f>SUM('Jun 25'!L145)</f>
        <v>349.15458645822127</v>
      </c>
      <c r="T148" s="108">
        <f>SUM('Pago Cuota MC 2025'!K145)</f>
        <v>349.16</v>
      </c>
      <c r="U148" s="119">
        <f>SUM(-S148,T148)+Tabla3[[#This Row],[Saldo132]]</f>
        <v>2.1044570939352525E-3</v>
      </c>
      <c r="V148" s="122">
        <f>SUM('Jul 25'!L145)</f>
        <v>359.26871360432085</v>
      </c>
      <c r="W148" s="108">
        <f>SUM('Pago Cuota MC 2025'!L145)</f>
        <v>359.27</v>
      </c>
      <c r="X148" s="119">
        <f>SUM(-V148,W148)+Tabla3[[#This Row],[Saldo16]]</f>
        <v>3.3908527730659443E-3</v>
      </c>
      <c r="Y148" s="122">
        <f>SUM('Ago 25'!L145)</f>
        <v>349.67775964051356</v>
      </c>
      <c r="Z148" s="108">
        <f>SUM('Pago Cuota MC 2025'!M145)</f>
        <v>349.67</v>
      </c>
      <c r="AA148" s="119">
        <f>SUM(-Y148,Z148)+Tabla3[[#This Row],[Saldo19]]</f>
        <v>-4.3687877404749997E-3</v>
      </c>
      <c r="AB148" s="122">
        <f>SUM('Sep 25'!L145)</f>
        <v>345.01985059936908</v>
      </c>
      <c r="AC148" s="108">
        <f>SUM('Pago Cuota MC 2025'!N145)</f>
        <v>345.02</v>
      </c>
      <c r="AD148" s="119">
        <f>SUM(-AB148,AC148)+Tabla3[[#This Row],[Saldo22]]</f>
        <v>-4.219387109571926E-3</v>
      </c>
      <c r="AE148" s="122">
        <f>SUM('Oct 25'!L145)</f>
        <v>341.31877620844199</v>
      </c>
      <c r="AF148" s="108">
        <f>SUM('Pago Cuota MC 2025'!O145)</f>
        <v>341.32</v>
      </c>
      <c r="AG148" s="145">
        <f>SUM(-AE148,AF148)+Tabla3[[#This Row],[Saldo25]]</f>
        <v>-2.9955955515674759E-3</v>
      </c>
      <c r="AH148" s="122">
        <f>SUM('Nov 25'!L145)</f>
        <v>339.42622338659936</v>
      </c>
      <c r="AI148" s="108">
        <f>SUM('Pago Cuota MC 2025'!P145)</f>
        <v>339.43</v>
      </c>
      <c r="AJ148" s="119">
        <f>SUM(-AH148,AI148)+Tabla3[[#This Row],[Saldo28]]</f>
        <v>7.8101784907858018E-4</v>
      </c>
      <c r="AK148" s="122">
        <f>SUM('Dic 25'!L145)</f>
        <v>320.75869477759352</v>
      </c>
      <c r="AL148" s="108">
        <f>SUM('Pago Cuota MC 2025'!Q145)</f>
        <v>320.76</v>
      </c>
      <c r="AM148" s="145">
        <f>SUM(-AK148,AL148)+Tabla3[[#This Row],[Saldo31]]</f>
        <v>2.0862402555508197E-3</v>
      </c>
      <c r="AN148" s="128">
        <f t="shared" si="9"/>
        <v>2.0862402555508197E-3</v>
      </c>
      <c r="AO148" s="29"/>
      <c r="AP148" s="106" t="s">
        <v>12</v>
      </c>
      <c r="AQ148" t="s">
        <v>12</v>
      </c>
    </row>
    <row r="149" spans="1:43" ht="16.149999999999999" thickBot="1" x14ac:dyDescent="0.5">
      <c r="A149" s="312"/>
      <c r="B149" s="16" t="s">
        <v>10</v>
      </c>
      <c r="C149" s="116">
        <v>104</v>
      </c>
      <c r="D149" s="118">
        <f>SUM('Ene 25'!L146)-('Pago Cuota MC 2024'!F146)</f>
        <v>330.79038544436099</v>
      </c>
      <c r="E149" s="108">
        <f>SUM('Pago Cuota MC 2025'!F146)</f>
        <v>330.79</v>
      </c>
      <c r="F149" s="119">
        <f t="shared" si="8"/>
        <v>-3.854443609725422E-4</v>
      </c>
      <c r="G149" s="118">
        <f>SUM('Feb 25'!L146)</f>
        <v>362.10351550128172</v>
      </c>
      <c r="H149" s="108">
        <f>SUM('Pago Cuota MC 2025'!G146)</f>
        <v>362.1</v>
      </c>
      <c r="I149" s="119">
        <f>SUM(-G149,H149)+Tabla3[[#This Row],[Saldo]]</f>
        <v>-3.9009456426697398E-3</v>
      </c>
      <c r="J149" s="118">
        <f>SUM('Mar 25'!L146)</f>
        <v>382.12844193565968</v>
      </c>
      <c r="K149" s="108">
        <f>SUM('Pago Cuota MC 2025'!H146)</f>
        <v>382.13</v>
      </c>
      <c r="L149" s="119">
        <f>SUM(-J149,K149)+Tabla3[[#This Row],[Saldo4]]</f>
        <v>-2.3428813023542716E-3</v>
      </c>
      <c r="M149" s="122">
        <f>SUM('Abr 25'!L146)</f>
        <v>372.31091777680479</v>
      </c>
      <c r="N149" s="108">
        <f>SUM('Pago Cuota MC 2025'!I146)</f>
        <v>372.31</v>
      </c>
      <c r="O149" s="119">
        <f>SUM(-M149,N149)+Tabla3[[#This Row],[Saldo7]]</f>
        <v>-3.260658107137715E-3</v>
      </c>
      <c r="P149" s="122">
        <f>SUM('May 25'!L146)</f>
        <v>399.07070246031748</v>
      </c>
      <c r="Q149" s="108">
        <f>SUM('Pago Cuota MC 2025'!J146)</f>
        <v>399.07</v>
      </c>
      <c r="R149" s="119">
        <f>SUM(-P149,Q149)+Tabla3[[#This Row],[Saldo13]]</f>
        <v>-3.9631184246218254E-3</v>
      </c>
      <c r="S149" s="122">
        <f>SUM('Jun 25'!L146)</f>
        <v>416.13491448404159</v>
      </c>
      <c r="T149" s="108">
        <f>SUM('Pago Cuota MC 2025'!K146)</f>
        <v>416.14</v>
      </c>
      <c r="U149" s="119">
        <f>SUM(-S149,T149)+Tabla3[[#This Row],[Saldo132]]</f>
        <v>1.1223975337770753E-3</v>
      </c>
      <c r="V149" s="122">
        <f>SUM('Jul 25'!L146)</f>
        <v>377.70489646467485</v>
      </c>
      <c r="W149" s="108">
        <f>SUM('Pago Cuota MC 2025'!L146)</f>
        <v>377.7</v>
      </c>
      <c r="X149" s="119">
        <f>SUM(-V149,W149)+Tabla3[[#This Row],[Saldo16]]</f>
        <v>-3.7740671410801951E-3</v>
      </c>
      <c r="Y149" s="122">
        <f>SUM('Ago 25'!L146)</f>
        <v>386.3983111954351</v>
      </c>
      <c r="Z149" s="108">
        <f>SUM('Pago Cuota MC 2025'!M146)</f>
        <v>0</v>
      </c>
      <c r="AA149" s="119">
        <f>SUM(-Y149,Z149)+Tabla3[[#This Row],[Saldo19]]</f>
        <v>-386.40208526257618</v>
      </c>
      <c r="AB149" s="122">
        <f>SUM('Sep 25'!L146)</f>
        <v>417.19069728706626</v>
      </c>
      <c r="AC149" s="108">
        <f>SUM('Pago Cuota MC 2025'!N146)</f>
        <v>803.49</v>
      </c>
      <c r="AD149" s="119">
        <f>SUM(-AB149,AC149)+Tabla3[[#This Row],[Saldo22]]</f>
        <v>-0.10278254964242706</v>
      </c>
      <c r="AE149" s="122">
        <f>SUM('Oct 25'!L146)</f>
        <v>413.16656585323432</v>
      </c>
      <c r="AF149" s="108">
        <f>SUM('Pago Cuota MC 2025'!O146)</f>
        <v>0</v>
      </c>
      <c r="AG149" s="145">
        <f>SUM(-AE149,AF149)+Tabla3[[#This Row],[Saldo25]]</f>
        <v>-413.26934840287674</v>
      </c>
      <c r="AH149" s="122">
        <f>SUM('Nov 25'!L146)</f>
        <v>386.12107931595176</v>
      </c>
      <c r="AI149" s="108">
        <f>SUM('Pago Cuota MC 2025'!P146)</f>
        <v>800</v>
      </c>
      <c r="AJ149" s="119">
        <f>SUM(-AH149,AI149)+Tabla3[[#This Row],[Saldo28]]</f>
        <v>0.60957228117149498</v>
      </c>
      <c r="AK149" s="122">
        <f>SUM('Dic 25'!L146)</f>
        <v>401.97382878367591</v>
      </c>
      <c r="AL149" s="108">
        <f>SUM('Pago Cuota MC 2025'!Q146)</f>
        <v>0</v>
      </c>
      <c r="AM149" s="145">
        <f>SUM(-AK149,AL149)+Tabla3[[#This Row],[Saldo31]]</f>
        <v>-401.36425650250442</v>
      </c>
      <c r="AN149" s="128">
        <f t="shared" si="9"/>
        <v>-401.36425650250442</v>
      </c>
      <c r="AO149" s="29"/>
      <c r="AP149" s="106">
        <f>SUM(Tabla3[[#This Row],[Saldo Anual]])</f>
        <v>-401.36425650250442</v>
      </c>
    </row>
    <row r="150" spans="1:43" ht="16.149999999999999" thickBot="1" x14ac:dyDescent="0.5">
      <c r="A150" s="312"/>
      <c r="B150" s="16" t="s">
        <v>10</v>
      </c>
      <c r="C150" s="116">
        <v>201</v>
      </c>
      <c r="D150" s="118">
        <f>SUM('Ene 25'!L147)-('Pago Cuota MC 2024'!F147)</f>
        <v>376.25358127192806</v>
      </c>
      <c r="E150" s="108">
        <f>SUM('Pago Cuota MC 2025'!F147)</f>
        <v>376.25</v>
      </c>
      <c r="F150" s="119">
        <f t="shared" si="8"/>
        <v>-3.5812719280556848E-3</v>
      </c>
      <c r="G150" s="118">
        <f>SUM('Feb 25'!L147)</f>
        <v>512.24034916690402</v>
      </c>
      <c r="H150" s="108">
        <f>SUM('Pago Cuota MC 2025'!G147)</f>
        <v>512.24</v>
      </c>
      <c r="I150" s="119">
        <f>SUM(-G150,H150)+Tabla3[[#This Row],[Saldo]]</f>
        <v>-3.9304388320715589E-3</v>
      </c>
      <c r="J150" s="118">
        <f>SUM('Mar 25'!L147)</f>
        <v>504.31479662486362</v>
      </c>
      <c r="K150" s="108">
        <f>SUM('Pago Cuota MC 2025'!H147)</f>
        <v>504.32</v>
      </c>
      <c r="L150" s="119">
        <f>SUM(-J150,K150)+Tabla3[[#This Row],[Saldo4]]</f>
        <v>1.2729363043035846E-3</v>
      </c>
      <c r="M150" s="122">
        <f>SUM('Abr 25'!L147)</f>
        <v>523.58710651002139</v>
      </c>
      <c r="N150" s="108">
        <f>SUM('Pago Cuota MC 2025'!I147)</f>
        <v>523.59</v>
      </c>
      <c r="O150" s="119">
        <f>SUM(-M150,N150)+Tabla3[[#This Row],[Saldo7]]</f>
        <v>4.1664262829499421E-3</v>
      </c>
      <c r="P150" s="122">
        <f>SUM('May 25'!L147)</f>
        <v>496.13009293650794</v>
      </c>
      <c r="Q150" s="108">
        <f>SUM('Pago Cuota MC 2025'!J147)</f>
        <v>496.13</v>
      </c>
      <c r="R150" s="119">
        <f>SUM(-P150,Q150)+Tabla3[[#This Row],[Saldo13]]</f>
        <v>4.0734897750098753E-3</v>
      </c>
      <c r="S150" s="122">
        <f>SUM('Jun 25'!L147)</f>
        <v>499.76921098753814</v>
      </c>
      <c r="T150" s="108">
        <f>SUM('Pago Cuota MC 2025'!K147)</f>
        <v>499.77</v>
      </c>
      <c r="U150" s="119">
        <f>SUM(-S150,T150)+Tabla3[[#This Row],[Saldo132]]</f>
        <v>4.8625022368469217E-3</v>
      </c>
      <c r="V150" s="122">
        <f>SUM('Jul 25'!L147)</f>
        <v>473.69613816178082</v>
      </c>
      <c r="W150" s="108">
        <f>SUM('Pago Cuota MC 2025'!L147)</f>
        <v>473.69</v>
      </c>
      <c r="X150" s="119">
        <f>SUM(-V150,W150)+Tabla3[[#This Row],[Saldo16]]</f>
        <v>-1.2756595439782359E-3</v>
      </c>
      <c r="Y150" s="122">
        <f>SUM('Ago 25'!L147)</f>
        <v>470.43601687303851</v>
      </c>
      <c r="Z150" s="108">
        <f>SUM('Pago Cuota MC 2025'!M147)</f>
        <v>470.44</v>
      </c>
      <c r="AA150" s="119">
        <f>SUM(-Y150,Z150)+Tabla3[[#This Row],[Saldo19]]</f>
        <v>2.7074674175082691E-3</v>
      </c>
      <c r="AB150" s="122">
        <f>SUM('Sep 25'!L147)</f>
        <v>480.30814586750785</v>
      </c>
      <c r="AC150" s="108">
        <f>SUM('Pago Cuota MC 2025'!N147)</f>
        <v>480.31</v>
      </c>
      <c r="AD150" s="119">
        <f>SUM(-AB150,AC150)+Tabla3[[#This Row],[Saldo22]]</f>
        <v>4.5615999096639825E-3</v>
      </c>
      <c r="AE150" s="122">
        <f>SUM('Oct 25'!L147)</f>
        <v>476.00148295136796</v>
      </c>
      <c r="AF150" s="108">
        <f>SUM('Pago Cuota MC 2025'!O147)</f>
        <v>476</v>
      </c>
      <c r="AG150" s="145">
        <f>SUM(-AE150,AF150)+Tabla3[[#This Row],[Saldo25]]</f>
        <v>3.0786485417024778E-3</v>
      </c>
      <c r="AH150" s="122">
        <f>SUM('Nov 25'!L147)</f>
        <v>500.49826913933276</v>
      </c>
      <c r="AI150" s="108">
        <f>SUM('Pago Cuota MC 2025'!P147)</f>
        <v>500.5</v>
      </c>
      <c r="AJ150" s="119">
        <f>SUM(-AH150,AI150)+Tabla3[[#This Row],[Saldo28]]</f>
        <v>4.809509208939744E-3</v>
      </c>
      <c r="AK150" s="122">
        <f>SUM('Dic 25'!L147)</f>
        <v>514.43367371041074</v>
      </c>
      <c r="AL150" s="108">
        <f>SUM('Pago Cuota MC 2025'!Q147)</f>
        <v>514.42999999999995</v>
      </c>
      <c r="AM150" s="145">
        <f>SUM(-AK150,AL150)+Tabla3[[#This Row],[Saldo31]]</f>
        <v>1.1357987981455153E-3</v>
      </c>
      <c r="AN150" s="128">
        <f t="shared" si="9"/>
        <v>1.1357987981455153E-3</v>
      </c>
      <c r="AO150" s="29"/>
      <c r="AP150" s="106" t="s">
        <v>12</v>
      </c>
    </row>
    <row r="151" spans="1:43" ht="16.149999999999999" thickBot="1" x14ac:dyDescent="0.5">
      <c r="A151" s="312"/>
      <c r="B151" s="16" t="s">
        <v>10</v>
      </c>
      <c r="C151" s="116">
        <v>202</v>
      </c>
      <c r="D151" s="118">
        <f>SUM('Ene 25'!L148)-('Pago Cuota MC 2024'!F148)</f>
        <v>-5.9982866844165983E-5</v>
      </c>
      <c r="E151" s="108">
        <f>SUM('Pago Cuota MC 2025'!F148)</f>
        <v>0</v>
      </c>
      <c r="F151" s="119">
        <f t="shared" si="8"/>
        <v>5.9982866844165983E-5</v>
      </c>
      <c r="G151" s="118">
        <f>SUM('Feb 25'!L148)</f>
        <v>396.4722353816577</v>
      </c>
      <c r="H151" s="108">
        <f>SUM('Pago Cuota MC 2025'!G148)</f>
        <v>396.47</v>
      </c>
      <c r="I151" s="119">
        <f>SUM(-G151,H151)+Tabla3[[#This Row],[Saldo]]</f>
        <v>-2.1753987908255112E-3</v>
      </c>
      <c r="J151" s="118">
        <f>SUM('Mar 25'!L148)</f>
        <v>401.22264188113411</v>
      </c>
      <c r="K151" s="108">
        <f>SUM('Pago Cuota MC 2025'!H148)</f>
        <v>0</v>
      </c>
      <c r="L151" s="119">
        <f>SUM(-J151,K151)+Tabla3[[#This Row],[Saldo4]]</f>
        <v>-401.22481727992493</v>
      </c>
      <c r="M151" s="122">
        <f>SUM('Abr 25'!L148)</f>
        <v>351.56035621813578</v>
      </c>
      <c r="N151" s="108">
        <f>SUM('Pago Cuota MC 2025'!I148)</f>
        <v>752.79</v>
      </c>
      <c r="O151" s="119">
        <f>SUM(-M151,N151)+Tabla3[[#This Row],[Saldo7]]</f>
        <v>4.8265019392488284E-3</v>
      </c>
      <c r="P151" s="122">
        <f>SUM('May 25'!L148)</f>
        <v>371.83859650793653</v>
      </c>
      <c r="Q151" s="108">
        <f>SUM('Pago Cuota MC 2025'!J148)</f>
        <v>0</v>
      </c>
      <c r="R151" s="119">
        <f>SUM(-P151,Q151)+Tabla3[[#This Row],[Saldo13]]</f>
        <v>-371.83377000599728</v>
      </c>
      <c r="S151" s="122">
        <f>SUM('Jun 25'!L148)</f>
        <v>360.31005154697868</v>
      </c>
      <c r="T151" s="108">
        <f>SUM('Pago Cuota MC 2025'!K148)</f>
        <v>732.14</v>
      </c>
      <c r="U151" s="119">
        <f>SUM(-S151,T151)+Tabla3[[#This Row],[Saldo132]]</f>
        <v>-3.821552975978193E-3</v>
      </c>
      <c r="V151" s="122">
        <f>SUM('Jul 25'!L148)</f>
        <v>341.74591169367176</v>
      </c>
      <c r="W151" s="108">
        <f>SUM('Pago Cuota MC 2025'!L148)</f>
        <v>0</v>
      </c>
      <c r="X151" s="119">
        <f>SUM(-V151,W151)+Tabla3[[#This Row],[Saldo16]]</f>
        <v>-341.74973324664774</v>
      </c>
      <c r="Y151" s="122">
        <f>SUM('Ago 25'!L148)</f>
        <v>392.13064306419403</v>
      </c>
      <c r="Z151" s="108">
        <f>SUM('Pago Cuota MC 2025'!M148)</f>
        <v>0</v>
      </c>
      <c r="AA151" s="119">
        <f>SUM(-Y151,Z151)+Tabla3[[#This Row],[Saldo19]]</f>
        <v>-733.88037631084171</v>
      </c>
      <c r="AB151" s="122">
        <f>SUM('Sep 25'!L148)</f>
        <v>366.80363861198737</v>
      </c>
      <c r="AC151" s="108">
        <f>SUM('Pago Cuota MC 2025'!N148)</f>
        <v>0</v>
      </c>
      <c r="AD151" s="119">
        <f>SUM(-AB151,AC151)+Tabla3[[#This Row],[Saldo22]]</f>
        <v>-1100.6840149228292</v>
      </c>
      <c r="AE151" s="122">
        <f>SUM('Oct 25'!L148)</f>
        <v>363.0498166659977</v>
      </c>
      <c r="AF151" s="108">
        <f>SUM('Pago Cuota MC 2025'!O148)</f>
        <v>0</v>
      </c>
      <c r="AG151" s="145">
        <f>SUM(-AE151,AF151)+Tabla3[[#This Row],[Saldo25]]</f>
        <v>-1463.7338315888269</v>
      </c>
      <c r="AH151" s="122">
        <f>SUM('Nov 25'!L148)</f>
        <v>385.76429285674237</v>
      </c>
      <c r="AI151" s="108">
        <f>SUM('Pago Cuota MC 2025'!P148)</f>
        <v>0</v>
      </c>
      <c r="AJ151" s="119">
        <f>SUM(-AH151,AI151)+Tabla3[[#This Row],[Saldo28]]</f>
        <v>-1849.4981244455694</v>
      </c>
      <c r="AK151" s="122">
        <f>SUM('Dic 25'!L148)</f>
        <v>437.63052593601208</v>
      </c>
      <c r="AL151" s="108">
        <f>SUM('Pago Cuota MC 2025'!Q148)</f>
        <v>0</v>
      </c>
      <c r="AM151" s="145">
        <f>SUM(-AK151,AL151)+Tabla3[[#This Row],[Saldo31]]</f>
        <v>-2287.1286503815813</v>
      </c>
      <c r="AN151" s="128">
        <f t="shared" si="9"/>
        <v>-2287.1286503815813</v>
      </c>
      <c r="AO151" s="29"/>
      <c r="AP151" s="106">
        <f>SUM(Tabla3[[#This Row],[Saldo Anual]])</f>
        <v>-2287.1286503815813</v>
      </c>
    </row>
    <row r="152" spans="1:43" ht="16.149999999999999" thickBot="1" x14ac:dyDescent="0.5">
      <c r="A152" s="312"/>
      <c r="B152" s="16" t="s">
        <v>10</v>
      </c>
      <c r="C152" s="116">
        <v>203</v>
      </c>
      <c r="D152" s="118">
        <f>SUM('Ene 25'!L149)-('Pago Cuota MC 2024'!F149)</f>
        <v>4.9548377618293671E-3</v>
      </c>
      <c r="E152" s="108">
        <f>SUM('Pago Cuota MC 2025'!F149)</f>
        <v>0</v>
      </c>
      <c r="F152" s="119">
        <f t="shared" si="8"/>
        <v>-4.9548377618293671E-3</v>
      </c>
      <c r="G152" s="118">
        <f>SUM('Feb 25'!L149)</f>
        <v>389.14410009256625</v>
      </c>
      <c r="H152" s="108">
        <f>SUM('Pago Cuota MC 2025'!G149)</f>
        <v>0</v>
      </c>
      <c r="I152" s="119">
        <f>SUM(-G152,H152)+Tabla3[[#This Row],[Saldo]]</f>
        <v>-389.14905493032808</v>
      </c>
      <c r="J152" s="118">
        <f>SUM('Mar 25'!L149)</f>
        <v>387.92791663576872</v>
      </c>
      <c r="K152" s="108">
        <f>SUM('Pago Cuota MC 2025'!H149)</f>
        <v>777.1</v>
      </c>
      <c r="L152" s="119">
        <f>SUM(-J152,K152)+Tabla3[[#This Row],[Saldo4]]</f>
        <v>2.3028433903220957E-2</v>
      </c>
      <c r="M152" s="122">
        <f>SUM('Abr 25'!L149)</f>
        <v>384.4652247528702</v>
      </c>
      <c r="N152" s="108">
        <f>SUM('Pago Cuota MC 2025'!I149)</f>
        <v>0</v>
      </c>
      <c r="O152" s="119">
        <f>SUM(-M152,N152)+Tabla3[[#This Row],[Saldo7]]</f>
        <v>-384.44219631896698</v>
      </c>
      <c r="P152" s="122">
        <f>SUM('May 25'!L149)</f>
        <v>387.04528103174607</v>
      </c>
      <c r="Q152" s="108">
        <f>SUM('Pago Cuota MC 2025'!J149)</f>
        <v>771.5</v>
      </c>
      <c r="R152" s="119">
        <f>SUM(-P152,Q152)+Tabla3[[#This Row],[Saldo13]]</f>
        <v>1.2522649286950127E-2</v>
      </c>
      <c r="S152" s="122">
        <f>SUM('Jun 25'!L149)</f>
        <v>374.47622454321322</v>
      </c>
      <c r="T152" s="108">
        <f>SUM('Pago Cuota MC 2025'!K149)</f>
        <v>0</v>
      </c>
      <c r="U152" s="119">
        <f>SUM(-S152,T152)+Tabla3[[#This Row],[Saldo132]]</f>
        <v>-374.46370189392627</v>
      </c>
      <c r="V152" s="122">
        <f>SUM('Jul 25'!L149)</f>
        <v>375.20387910024664</v>
      </c>
      <c r="W152" s="108">
        <f>SUM('Pago Cuota MC 2025'!L149)</f>
        <v>750</v>
      </c>
      <c r="X152" s="119">
        <f>SUM(-V152,W152)+Tabla3[[#This Row],[Saldo16]]</f>
        <v>0.3324190058270915</v>
      </c>
      <c r="Y152" s="122">
        <f>SUM('Ago 25'!L149)</f>
        <v>372.63836859914409</v>
      </c>
      <c r="Z152" s="108">
        <f>SUM('Pago Cuota MC 2025'!M149)</f>
        <v>0</v>
      </c>
      <c r="AA152" s="119">
        <f>SUM(-Y152,Z152)+Tabla3[[#This Row],[Saldo19]]</f>
        <v>-372.305949593317</v>
      </c>
      <c r="AB152" s="122">
        <f>SUM('Sep 25'!L149)</f>
        <v>382.41803608832805</v>
      </c>
      <c r="AC152" s="108">
        <f>SUM('Pago Cuota MC 2025'!N149)</f>
        <v>755</v>
      </c>
      <c r="AD152" s="119">
        <f>SUM(-AB152,AC152)+Tabla3[[#This Row],[Saldo22]]</f>
        <v>0.27601431835495305</v>
      </c>
      <c r="AE152" s="122">
        <f>SUM('Oct 25'!L149)</f>
        <v>378.54955688273463</v>
      </c>
      <c r="AF152" s="108">
        <f>SUM('Pago Cuota MC 2025'!O149)</f>
        <v>0</v>
      </c>
      <c r="AG152" s="145">
        <f>SUM(-AE152,AF152)+Tabla3[[#This Row],[Saldo25]]</f>
        <v>-378.27354256437968</v>
      </c>
      <c r="AH152" s="122">
        <f>SUM('Nov 25'!L149)</f>
        <v>406.39799201569946</v>
      </c>
      <c r="AI152" s="108">
        <f>SUM('Pago Cuota MC 2025'!P149)</f>
        <v>0</v>
      </c>
      <c r="AJ152" s="119">
        <f>SUM(-AH152,AI152)+Tabla3[[#This Row],[Saldo28]]</f>
        <v>-784.6715345800792</v>
      </c>
      <c r="AK152" s="122">
        <f>SUM('Dic 25'!L149)</f>
        <v>419.1222160936012</v>
      </c>
      <c r="AL152" s="108">
        <f>SUM('Pago Cuota MC 2025'!Q149)</f>
        <v>1203.79</v>
      </c>
      <c r="AM152" s="145">
        <f>SUM(-AK152,AL152)+Tabla3[[#This Row],[Saldo31]]</f>
        <v>-3.7506736804289176E-3</v>
      </c>
      <c r="AN152" s="128">
        <f t="shared" si="9"/>
        <v>-3.7506736804289176E-3</v>
      </c>
      <c r="AO152" s="29"/>
      <c r="AP152" s="106" t="s">
        <v>12</v>
      </c>
    </row>
    <row r="153" spans="1:43" ht="16.149999999999999" thickBot="1" x14ac:dyDescent="0.5">
      <c r="A153" s="312"/>
      <c r="B153" s="16" t="s">
        <v>10</v>
      </c>
      <c r="C153" s="116">
        <v>204</v>
      </c>
      <c r="D153" s="118">
        <f>SUM('Ene 25'!L150)-('Pago Cuota MC 2024'!F150)</f>
        <v>320.96995571326647</v>
      </c>
      <c r="E153" s="108">
        <f>SUM('Pago Cuota MC 2025'!F150)</f>
        <v>320.97000000000003</v>
      </c>
      <c r="F153" s="119">
        <f t="shared" si="8"/>
        <v>4.4286733555054525E-5</v>
      </c>
      <c r="G153" s="118">
        <f>SUM('Feb 25'!L150)</f>
        <v>347.0992171532327</v>
      </c>
      <c r="H153" s="108">
        <f>SUM('Pago Cuota MC 2025'!G150)</f>
        <v>347.1</v>
      </c>
      <c r="I153" s="119">
        <f>SUM(-G153,H153)+Tabla3[[#This Row],[Saldo]]</f>
        <v>8.2713350087715298E-4</v>
      </c>
      <c r="J153" s="118">
        <f>SUM('Mar 25'!L150)</f>
        <v>388.93908691930199</v>
      </c>
      <c r="K153" s="108">
        <f>SUM('Pago Cuota MC 2025'!H150)</f>
        <v>388.94</v>
      </c>
      <c r="L153" s="119">
        <f>SUM(-J153,K153)+Tabla3[[#This Row],[Saldo4]]</f>
        <v>1.7402141988895892E-3</v>
      </c>
      <c r="M153" s="122">
        <f>SUM('Abr 25'!L150)</f>
        <v>344.46051681358239</v>
      </c>
      <c r="N153" s="108">
        <f>SUM('Pago Cuota MC 2025'!I150)</f>
        <v>344.46</v>
      </c>
      <c r="O153" s="119">
        <f>SUM(-M153,N153)+Tabla3[[#This Row],[Saldo7]]</f>
        <v>1.2234006164817401E-3</v>
      </c>
      <c r="P153" s="122">
        <f>SUM('May 25'!L150)</f>
        <v>360.04775722222223</v>
      </c>
      <c r="Q153" s="108">
        <f>SUM('Pago Cuota MC 2025'!J150)</f>
        <v>360.05</v>
      </c>
      <c r="R153" s="119">
        <f>SUM(-P153,Q153)+Tabla3[[#This Row],[Saldo13]]</f>
        <v>3.4661783942624425E-3</v>
      </c>
      <c r="S153" s="122">
        <f>SUM('Jun 25'!L150)</f>
        <v>368.21315980410617</v>
      </c>
      <c r="T153" s="108">
        <f>SUM('Pago Cuota MC 2025'!K150)</f>
        <v>368.21</v>
      </c>
      <c r="U153" s="119">
        <f>SUM(-S153,T153)+Tabla3[[#This Row],[Saldo132]]</f>
        <v>3.0637428807267497E-4</v>
      </c>
      <c r="V153" s="122">
        <f>SUM('Jul 25'!L150)</f>
        <v>324.60727859448662</v>
      </c>
      <c r="W153" s="108">
        <f>SUM('Pago Cuota MC 2025'!L150)</f>
        <v>324.61</v>
      </c>
      <c r="X153" s="119">
        <f>SUM(-V153,W153)+Tabla3[[#This Row],[Saldo16]]</f>
        <v>3.0277798014708424E-3</v>
      </c>
      <c r="Y153" s="122">
        <f>SUM('Ago 25'!L150)</f>
        <v>342.2171258031384</v>
      </c>
      <c r="Z153" s="108">
        <f>SUM('Pago Cuota MC 2025'!M150)</f>
        <v>342.21</v>
      </c>
      <c r="AA153" s="119">
        <f>SUM(-Y153,Z153)+Tabla3[[#This Row],[Saldo19]]</f>
        <v>-4.0980233369509733E-3</v>
      </c>
      <c r="AB153" s="122">
        <f>SUM('Sep 25'!L150)</f>
        <v>321.38624807570977</v>
      </c>
      <c r="AC153" s="108">
        <f>SUM('Pago Cuota MC 2025'!N150)</f>
        <v>321.39</v>
      </c>
      <c r="AD153" s="119">
        <f>SUM(-AB153,AC153)+Tabla3[[#This Row],[Saldo22]]</f>
        <v>-3.4609904673743586E-4</v>
      </c>
      <c r="AE153" s="122">
        <f>SUM('Oct 25'!L150)</f>
        <v>317.79096434811692</v>
      </c>
      <c r="AF153" s="108">
        <f>SUM('Pago Cuota MC 2025'!O150)</f>
        <v>317.79000000000002</v>
      </c>
      <c r="AG153" s="145">
        <f>SUM(-AE153,AF153)+Tabla3[[#This Row],[Saldo25]]</f>
        <v>-1.3104471636324888E-3</v>
      </c>
      <c r="AH153" s="122">
        <f>SUM('Nov 25'!L150)</f>
        <v>332.92792540510231</v>
      </c>
      <c r="AI153" s="108">
        <f>SUM('Pago Cuota MC 2025'!P150)</f>
        <v>332.93</v>
      </c>
      <c r="AJ153" s="119">
        <f>SUM(-AH153,AI153)+Tabla3[[#This Row],[Saldo28]]</f>
        <v>7.6414773405986125E-4</v>
      </c>
      <c r="AK153" s="122">
        <f>SUM('Dic 25'!L150)</f>
        <v>321.61159416935465</v>
      </c>
      <c r="AL153" s="108">
        <f>SUM('Pago Cuota MC 2025'!Q150)</f>
        <v>321.61</v>
      </c>
      <c r="AM153" s="145">
        <f>SUM(-AK153,AL153)+Tabla3[[#This Row],[Saldo31]]</f>
        <v>-8.3002162057255191E-4</v>
      </c>
      <c r="AN153" s="128">
        <f t="shared" si="9"/>
        <v>-8.3002162057255191E-4</v>
      </c>
      <c r="AO153" s="29"/>
      <c r="AP153" s="106" t="s">
        <v>12</v>
      </c>
    </row>
    <row r="154" spans="1:43" ht="16.149999999999999" thickBot="1" x14ac:dyDescent="0.5">
      <c r="A154" s="312"/>
      <c r="B154" s="16" t="s">
        <v>10</v>
      </c>
      <c r="C154" s="116">
        <v>301</v>
      </c>
      <c r="D154" s="118">
        <f>SUM('Ene 25'!L151)-('Pago Cuota MC 2024'!F151)</f>
        <v>330.56266677069181</v>
      </c>
      <c r="E154" s="108">
        <f>SUM('Pago Cuota MC 2025'!F151)</f>
        <v>330.55</v>
      </c>
      <c r="F154" s="119">
        <f t="shared" si="8"/>
        <v>-1.2666770691794227E-2</v>
      </c>
      <c r="G154" s="118">
        <f>SUM('Feb 25'!L151)</f>
        <v>380.31436184135578</v>
      </c>
      <c r="H154" s="108">
        <f>SUM('Pago Cuota MC 2025'!G151)</f>
        <v>380.33</v>
      </c>
      <c r="I154" s="119">
        <f>SUM(-G154,H154)+Tabla3[[#This Row],[Saldo]]</f>
        <v>2.9713879524138065E-3</v>
      </c>
      <c r="J154" s="118">
        <f>SUM('Mar 25'!L151)</f>
        <v>370.95835464013078</v>
      </c>
      <c r="K154" s="108">
        <f>SUM('Pago Cuota MC 2025'!H151)</f>
        <v>370.96</v>
      </c>
      <c r="L154" s="119">
        <f>SUM(-J154,K154)+Tabla3[[#This Row],[Saldo4]]</f>
        <v>4.6167478216148083E-3</v>
      </c>
      <c r="M154" s="122">
        <f>SUM('Abr 25'!L151)</f>
        <v>373.98218581533371</v>
      </c>
      <c r="N154" s="108">
        <f>SUM('Pago Cuota MC 2025'!I151)</f>
        <v>374</v>
      </c>
      <c r="O154" s="119">
        <f>SUM(-M154,N154)+Tabla3[[#This Row],[Saldo7]]</f>
        <v>2.2430932487907285E-2</v>
      </c>
      <c r="P154" s="122">
        <f>SUM('May 25'!L151)</f>
        <v>391.72869293650797</v>
      </c>
      <c r="Q154" s="108">
        <f>SUM('Pago Cuota MC 2025'!J151)</f>
        <v>391.71</v>
      </c>
      <c r="R154" s="119">
        <f>SUM(-P154,Q154)+Tabla3[[#This Row],[Saldo13]]</f>
        <v>3.7379959799181961E-3</v>
      </c>
      <c r="S154" s="122">
        <f>SUM('Jun 25'!L151)</f>
        <v>390.00910047113143</v>
      </c>
      <c r="T154" s="108">
        <f>SUM('Pago Cuota MC 2025'!K151)</f>
        <v>390</v>
      </c>
      <c r="U154" s="119">
        <f>SUM(-S154,T154)+Tabla3[[#This Row],[Saldo132]]</f>
        <v>-5.3624751515144453E-3</v>
      </c>
      <c r="V154" s="122">
        <f>SUM('Jul 25'!L151)</f>
        <v>371.18578693952736</v>
      </c>
      <c r="W154" s="108">
        <f>SUM('Pago Cuota MC 2025'!L151)</f>
        <v>371.2</v>
      </c>
      <c r="X154" s="119">
        <f>SUM(-V154,W154)+Tabla3[[#This Row],[Saldo16]]</f>
        <v>8.850585321113158E-3</v>
      </c>
      <c r="Y154" s="122">
        <f>SUM('Ago 25'!L151)</f>
        <v>377.95622081027102</v>
      </c>
      <c r="Z154" s="108">
        <f>SUM('Pago Cuota MC 2025'!M151)</f>
        <v>378</v>
      </c>
      <c r="AA154" s="119">
        <f>SUM(-Y154,Z154)+Tabla3[[#This Row],[Saldo19]]</f>
        <v>5.2629775050093031E-2</v>
      </c>
      <c r="AB154" s="122">
        <f>SUM('Sep 25'!L151)</f>
        <v>363.83351873817031</v>
      </c>
      <c r="AC154" s="108">
        <f>SUM('Pago Cuota MC 2025'!N151)</f>
        <v>363.8</v>
      </c>
      <c r="AD154" s="119">
        <f>SUM(-AB154,AC154)+Tabla3[[#This Row],[Saldo22]]</f>
        <v>1.9111036879792209E-2</v>
      </c>
      <c r="AE154" s="122">
        <f>SUM('Oct 25'!L151)</f>
        <v>360.04822906816509</v>
      </c>
      <c r="AF154" s="108">
        <f>SUM('Pago Cuota MC 2025'!O151)</f>
        <v>0</v>
      </c>
      <c r="AG154" s="145">
        <f>SUM(-AE154,AF154)+Tabla3[[#This Row],[Saldo25]]</f>
        <v>-360.02911803128529</v>
      </c>
      <c r="AH154" s="122">
        <f>SUM('Nov 25'!L151)</f>
        <v>357.86916316792821</v>
      </c>
      <c r="AI154" s="108">
        <f>SUM('Pago Cuota MC 2025'!P151)</f>
        <v>718</v>
      </c>
      <c r="AJ154" s="119">
        <f>SUM(-AH154,AI154)+Tabla3[[#This Row],[Saldo28]]</f>
        <v>0.1017188007865002</v>
      </c>
      <c r="AK154" s="122">
        <f>SUM('Dic 25'!L151)</f>
        <v>376.80243868138115</v>
      </c>
      <c r="AL154" s="108">
        <f>SUM('Pago Cuota MC 2025'!Q151)</f>
        <v>376.7</v>
      </c>
      <c r="AM154" s="145">
        <f>SUM(-AK154,AL154)+Tabla3[[#This Row],[Saldo31]]</f>
        <v>-7.1988059465866172E-4</v>
      </c>
      <c r="AN154" s="128">
        <f t="shared" si="9"/>
        <v>-7.1988059465866172E-4</v>
      </c>
      <c r="AO154" s="29"/>
      <c r="AP154" s="106" t="s">
        <v>12</v>
      </c>
    </row>
    <row r="155" spans="1:43" ht="16.149999999999999" thickBot="1" x14ac:dyDescent="0.5">
      <c r="A155" s="312"/>
      <c r="B155" s="16" t="s">
        <v>10</v>
      </c>
      <c r="C155" s="116">
        <v>302</v>
      </c>
      <c r="D155" s="118">
        <f>SUM('Ene 25'!L152)-('Pago Cuota MC 2024'!F152)</f>
        <v>4.1510631740493409E-4</v>
      </c>
      <c r="E155" s="108">
        <f>SUM('Pago Cuota MC 2025'!F152)</f>
        <v>0</v>
      </c>
      <c r="F155" s="119">
        <f t="shared" si="8"/>
        <v>-4.1510631740493409E-4</v>
      </c>
      <c r="G155" s="118">
        <f>SUM('Feb 25'!L152)</f>
        <v>404.07123481201938</v>
      </c>
      <c r="H155" s="108">
        <f>SUM('Pago Cuota MC 2025'!G152)</f>
        <v>0</v>
      </c>
      <c r="I155" s="119">
        <f>SUM(-G155,H155)+Tabla3[[#This Row],[Saldo]]</f>
        <v>-404.07164991833679</v>
      </c>
      <c r="J155" s="118">
        <f>SUM('Mar 25'!L152)</f>
        <v>402.72169199018532</v>
      </c>
      <c r="K155" s="108">
        <f>SUM('Pago Cuota MC 2025'!H152)</f>
        <v>0</v>
      </c>
      <c r="L155" s="119">
        <f>SUM(-J155,K155)+Tabla3[[#This Row],[Saldo4]]</f>
        <v>-806.79334190852205</v>
      </c>
      <c r="M155" s="122">
        <f>SUM('Abr 25'!L152)</f>
        <v>412.17009346273596</v>
      </c>
      <c r="N155" s="108">
        <f>SUM('Pago Cuota MC 2025'!I152)</f>
        <v>1218.96</v>
      </c>
      <c r="O155" s="119">
        <f>SUM(-M155,N155)+Tabla3[[#This Row],[Saldo7]]</f>
        <v>-3.4353712579786588E-3</v>
      </c>
      <c r="P155" s="122">
        <f>SUM('May 25'!L152)</f>
        <v>421.11319293650797</v>
      </c>
      <c r="Q155" s="108">
        <f>SUM('Pago Cuota MC 2025'!J152)</f>
        <v>0</v>
      </c>
      <c r="R155" s="119">
        <f>SUM(-P155,Q155)+Tabla3[[#This Row],[Saldo13]]</f>
        <v>-421.11662830776595</v>
      </c>
      <c r="S155" s="122">
        <f>SUM('Jun 25'!L152)</f>
        <v>395.79282881970596</v>
      </c>
      <c r="T155" s="108">
        <f>SUM('Pago Cuota MC 2025'!K152)</f>
        <v>0</v>
      </c>
      <c r="U155" s="119">
        <f>SUM(-S155,T155)+Tabla3[[#This Row],[Saldo132]]</f>
        <v>-816.90945712747191</v>
      </c>
      <c r="V155" s="122">
        <f>SUM('Jul 25'!L152)</f>
        <v>386.72110326433767</v>
      </c>
      <c r="W155" s="108">
        <f>SUM('Pago Cuota MC 2025'!L152)</f>
        <v>1203.6300000000001</v>
      </c>
      <c r="X155" s="119">
        <f>SUM(-V155,W155)+Tabla3[[#This Row],[Saldo16]]</f>
        <v>-5.6039180947209388E-4</v>
      </c>
      <c r="Y155" s="122">
        <f>SUM('Ago 25'!L152)</f>
        <v>393.85894503281031</v>
      </c>
      <c r="Z155" s="108">
        <f>SUM('Pago Cuota MC 2025'!M152)</f>
        <v>0</v>
      </c>
      <c r="AA155" s="119">
        <f>SUM(-Y155,Z155)+Tabla3[[#This Row],[Saldo19]]</f>
        <v>-393.85950542461978</v>
      </c>
      <c r="AB155" s="122">
        <f>SUM('Sep 25'!L152)</f>
        <v>391.46755028391169</v>
      </c>
      <c r="AC155" s="108">
        <f>SUM('Pago Cuota MC 2025'!N152)</f>
        <v>785.33</v>
      </c>
      <c r="AD155" s="119">
        <f>SUM(-AB155,AC155)+Tabla3[[#This Row],[Saldo22]]</f>
        <v>2.9442914685660071E-3</v>
      </c>
      <c r="AE155" s="122">
        <f>SUM('Oct 25'!L152)</f>
        <v>387.55856290320423</v>
      </c>
      <c r="AF155" s="108">
        <f>SUM('Pago Cuota MC 2025'!O152)</f>
        <v>0</v>
      </c>
      <c r="AG155" s="145">
        <f>SUM(-AE155,AF155)+Tabla3[[#This Row],[Saldo25]]</f>
        <v>-387.55561861173567</v>
      </c>
      <c r="AH155" s="122">
        <f>SUM('Nov 25'!L152)</f>
        <v>389.85650900476588</v>
      </c>
      <c r="AI155" s="108">
        <f>SUM('Pago Cuota MC 2025'!P152)</f>
        <v>677.41</v>
      </c>
      <c r="AJ155" s="119">
        <f>SUM(-AH155,AI155)+Tabla3[[#This Row],[Saldo28]]</f>
        <v>-100.00212761650158</v>
      </c>
      <c r="AK155" s="122">
        <f>SUM('Dic 25'!L152)</f>
        <v>390.20617542453846</v>
      </c>
      <c r="AL155" s="108">
        <f>SUM('Pago Cuota MC 2025'!Q152)</f>
        <v>0</v>
      </c>
      <c r="AM155" s="145">
        <f>SUM(-AK155,AL155)+Tabla3[[#This Row],[Saldo31]]</f>
        <v>-490.20830304104004</v>
      </c>
      <c r="AN155" s="128">
        <f t="shared" si="9"/>
        <v>-490.20830304104004</v>
      </c>
      <c r="AO155" s="29"/>
      <c r="AP155" s="106">
        <f>SUM(Tabla3[[#This Row],[Saldo Anual]])</f>
        <v>-490.20830304104004</v>
      </c>
    </row>
    <row r="156" spans="1:43" ht="16.149999999999999" thickBot="1" x14ac:dyDescent="0.5">
      <c r="A156" s="312"/>
      <c r="B156" s="16" t="s">
        <v>10</v>
      </c>
      <c r="C156" s="116">
        <v>303</v>
      </c>
      <c r="D156" s="118">
        <f>SUM('Ene 25'!L153)-('Pago Cuota MC 2024'!F153)</f>
        <v>354.19603543425995</v>
      </c>
      <c r="E156" s="108">
        <f>SUM('Pago Cuota MC 2025'!F153)</f>
        <v>500</v>
      </c>
      <c r="F156" s="119">
        <f t="shared" si="8"/>
        <v>145.80396456574005</v>
      </c>
      <c r="G156" s="118">
        <f>SUM('Feb 25'!L153)</f>
        <v>398.79502746368559</v>
      </c>
      <c r="H156" s="108">
        <f>SUM('Pago Cuota MC 2025'!G153)</f>
        <v>253</v>
      </c>
      <c r="I156" s="119">
        <f>SUM(-G156,H156)+Tabla3[[#This Row],[Saldo]]</f>
        <v>8.9371020544604107E-3</v>
      </c>
      <c r="J156" s="118">
        <f>SUM('Mar 25'!L153)</f>
        <v>345.6554904634678</v>
      </c>
      <c r="K156" s="108">
        <f>SUM('Pago Cuota MC 2025'!H153)</f>
        <v>345.65</v>
      </c>
      <c r="L156" s="119">
        <f>SUM(-J156,K156)+Tabla3[[#This Row],[Saldo4]]</f>
        <v>3.4466385866380733E-3</v>
      </c>
      <c r="M156" s="122">
        <f>SUM('Abr 25'!L153)</f>
        <v>334.4044441632613</v>
      </c>
      <c r="N156" s="108">
        <f>SUM('Pago Cuota MC 2025'!I153)</f>
        <v>334.5</v>
      </c>
      <c r="O156" s="119">
        <f>SUM(-M156,N156)+Tabla3[[#This Row],[Saldo7]]</f>
        <v>9.9002475325335126E-2</v>
      </c>
      <c r="P156" s="122">
        <f>SUM('May 25'!L153)</f>
        <v>373.0979322222222</v>
      </c>
      <c r="Q156" s="108">
        <f>SUM('Pago Cuota MC 2025'!J153)</f>
        <v>373</v>
      </c>
      <c r="R156" s="119">
        <f>SUM(-P156,Q156)+Tabla3[[#This Row],[Saldo13]]</f>
        <v>1.0702531031370199E-3</v>
      </c>
      <c r="S156" s="122">
        <f>SUM('Jun 25'!L153)</f>
        <v>352.40298183207818</v>
      </c>
      <c r="T156" s="108">
        <f>SUM('Pago Cuota MC 2025'!K153)</f>
        <v>352.4</v>
      </c>
      <c r="U156" s="119">
        <f>SUM(-S156,T156)+Tabla3[[#This Row],[Saldo132]]</f>
        <v>-1.9115789750685508E-3</v>
      </c>
      <c r="V156" s="122">
        <f>SUM('Jul 25'!L153)</f>
        <v>349.00591821235679</v>
      </c>
      <c r="W156" s="108">
        <f>SUM('Pago Cuota MC 2025'!L153)</f>
        <v>349.1</v>
      </c>
      <c r="X156" s="119">
        <f>SUM(-V156,W156)+Tabla3[[#This Row],[Saldo16]]</f>
        <v>9.2170208668164832E-2</v>
      </c>
      <c r="Y156" s="122">
        <f>SUM('Ago 25'!L153)</f>
        <v>344.33253613124111</v>
      </c>
      <c r="Z156" s="108">
        <f>SUM('Pago Cuota MC 2025'!M153)</f>
        <v>344.3</v>
      </c>
      <c r="AA156" s="119">
        <f>SUM(-Y156,Z156)+Tabla3[[#This Row],[Saldo19]]</f>
        <v>5.9634077427062948E-2</v>
      </c>
      <c r="AB156" s="122">
        <f>SUM('Sep 25'!L153)</f>
        <v>364.9831565930599</v>
      </c>
      <c r="AC156" s="108">
        <f>SUM('Pago Cuota MC 2025'!N153)</f>
        <v>0</v>
      </c>
      <c r="AD156" s="119">
        <f>SUM(-AB156,AC156)+Tabla3[[#This Row],[Saldo22]]</f>
        <v>-364.92352251563284</v>
      </c>
      <c r="AE156" s="122">
        <f>SUM('Oct 25'!L153)</f>
        <v>361.19272082012174</v>
      </c>
      <c r="AF156" s="108">
        <f>SUM('Pago Cuota MC 2025'!O153)</f>
        <v>727</v>
      </c>
      <c r="AG156" s="145">
        <f>SUM(-AE156,AF156)+Tabla3[[#This Row],[Saldo25]]</f>
        <v>0.88375666424542487</v>
      </c>
      <c r="AH156" s="122">
        <f>SUM('Nov 25'!L153)</f>
        <v>363.95461876086347</v>
      </c>
      <c r="AI156" s="108">
        <f>SUM('Pago Cuota MC 2025'!P153)</f>
        <v>363.1</v>
      </c>
      <c r="AJ156" s="119">
        <f>SUM(-AH156,AI156)+Tabla3[[#This Row],[Saldo28]]</f>
        <v>2.9137903381979413E-2</v>
      </c>
      <c r="AK156" s="122">
        <f>SUM('Dic 25'!L153)</f>
        <v>362.50360003056556</v>
      </c>
      <c r="AL156" s="108">
        <f>SUM('Pago Cuota MC 2025'!Q153)</f>
        <v>0</v>
      </c>
      <c r="AM156" s="145">
        <f>SUM(-AK156,AL156)+Tabla3[[#This Row],[Saldo31]]</f>
        <v>-362.47446212718359</v>
      </c>
      <c r="AN156" s="128">
        <f t="shared" si="9"/>
        <v>-362.47446212718359</v>
      </c>
      <c r="AO156" s="29"/>
      <c r="AP156" s="106">
        <f>SUM(Tabla3[[#This Row],[Saldo Anual]])</f>
        <v>-362.47446212718359</v>
      </c>
    </row>
    <row r="157" spans="1:43" ht="16.149999999999999" thickBot="1" x14ac:dyDescent="0.5">
      <c r="A157" s="312"/>
      <c r="B157" s="16" t="s">
        <v>10</v>
      </c>
      <c r="C157" s="116">
        <v>304</v>
      </c>
      <c r="D157" s="118">
        <f>SUM('Ene 25'!L154)-('Pago Cuota MC 2024'!F154)</f>
        <v>651.46018419464292</v>
      </c>
      <c r="E157" s="108">
        <f>SUM('Pago Cuota MC 2025'!F154)</f>
        <v>651.46</v>
      </c>
      <c r="F157" s="119">
        <f t="shared" si="8"/>
        <v>-1.8419464288399467E-4</v>
      </c>
      <c r="G157" s="118">
        <f>SUM('Feb 25'!L154)</f>
        <v>714.62442535602395</v>
      </c>
      <c r="H157" s="108">
        <f>SUM('Pago Cuota MC 2025'!G154)</f>
        <v>714.62</v>
      </c>
      <c r="I157" s="119">
        <f>SUM(-G157,H157)+Tabla3[[#This Row],[Saldo]]</f>
        <v>-4.6095506668279995E-3</v>
      </c>
      <c r="J157" s="118">
        <f>SUM('Mar 25'!L154)</f>
        <v>701.94659258996717</v>
      </c>
      <c r="K157" s="108">
        <f>SUM('Pago Cuota MC 2025'!H154)</f>
        <v>701.95</v>
      </c>
      <c r="L157" s="119">
        <f>SUM(-J157,K157)+Tabla3[[#This Row],[Saldo4]]</f>
        <v>-1.2021406339499663E-3</v>
      </c>
      <c r="M157" s="122">
        <f>SUM('Abr 25'!L154)</f>
        <v>702.00337329344234</v>
      </c>
      <c r="N157" s="108">
        <f>SUM('Pago Cuota MC 2025'!I154)</f>
        <v>702</v>
      </c>
      <c r="O157" s="119">
        <f>SUM(-M157,N157)+Tabla3[[#This Row],[Saldo7]]</f>
        <v>-4.5754340762869106E-3</v>
      </c>
      <c r="P157" s="122">
        <f>SUM('May 25'!L154)</f>
        <v>702.93513460317467</v>
      </c>
      <c r="Q157" s="108">
        <f>SUM('Pago Cuota MC 2025'!J154)</f>
        <v>702.94</v>
      </c>
      <c r="R157" s="119">
        <f>SUM(-P157,Q157)+Tabla3[[#This Row],[Saldo13]]</f>
        <v>2.8996274909331987E-4</v>
      </c>
      <c r="S157" s="122">
        <f>SUM('Jun 25'!L154)</f>
        <v>716.11510719517662</v>
      </c>
      <c r="T157" s="108">
        <f>SUM('Pago Cuota MC 2025'!K154)</f>
        <v>716.11</v>
      </c>
      <c r="U157" s="119">
        <f>SUM(-S157,T157)+Tabla3[[#This Row],[Saldo132]]</f>
        <v>-4.8172324275128631E-3</v>
      </c>
      <c r="V157" s="122">
        <f>SUM('Jul 25'!L154)</f>
        <v>697.35630719802691</v>
      </c>
      <c r="W157" s="108">
        <f>SUM('Pago Cuota MC 2025'!L154)</f>
        <v>697.36</v>
      </c>
      <c r="X157" s="119">
        <f>SUM(-V157,W157)+Tabla3[[#This Row],[Saldo16]]</f>
        <v>-1.1244304544106853E-3</v>
      </c>
      <c r="Y157" s="122">
        <f>SUM('Ago 25'!L154)</f>
        <v>682.23005350641938</v>
      </c>
      <c r="Z157" s="108">
        <f>SUM('Pago Cuota MC 2025'!M154)</f>
        <v>682.23</v>
      </c>
      <c r="AA157" s="119">
        <f>SUM(-Y157,Z157)+Tabla3[[#This Row],[Saldo19]]</f>
        <v>-1.177936873773433E-3</v>
      </c>
      <c r="AB157" s="122">
        <f>SUM('Sep 25'!L154)</f>
        <v>698.05854839116716</v>
      </c>
      <c r="AC157" s="108">
        <f>SUM('Pago Cuota MC 2025'!N154)</f>
        <v>698.06</v>
      </c>
      <c r="AD157" s="119">
        <f>SUM(-AB157,AC157)+Tabla3[[#This Row],[Saldo22]]</f>
        <v>2.736719590075154E-4</v>
      </c>
      <c r="AE157" s="122">
        <f>SUM('Oct 25'!L154)</f>
        <v>694.12005784600979</v>
      </c>
      <c r="AF157" s="108">
        <f>SUM('Pago Cuota MC 2025'!O154)</f>
        <v>694.12</v>
      </c>
      <c r="AG157" s="145">
        <f>SUM(-AE157,AF157)+Tabla3[[#This Row],[Saldo25]]</f>
        <v>2.1582594922620046E-4</v>
      </c>
      <c r="AH157" s="122">
        <f>SUM('Nov 25'!L154)</f>
        <v>707.74369941687689</v>
      </c>
      <c r="AI157" s="108">
        <f>SUM('Pago Cuota MC 2025'!P154)</f>
        <v>707.74</v>
      </c>
      <c r="AJ157" s="119">
        <f>SUM(-AH157,AI157)+Tabla3[[#This Row],[Saldo28]]</f>
        <v>-3.4835909276580423E-3</v>
      </c>
      <c r="AK157" s="122">
        <f>SUM('Dic 25'!L154)</f>
        <v>374.62499046462693</v>
      </c>
      <c r="AL157" s="108">
        <f>SUM('Pago Cuota MC 2025'!Q154)</f>
        <v>374.63</v>
      </c>
      <c r="AM157" s="145">
        <f>SUM(-AK157,AL157)+Tabla3[[#This Row],[Saldo31]]</f>
        <v>1.5259444454045479E-3</v>
      </c>
      <c r="AN157" s="128">
        <f t="shared" si="9"/>
        <v>1.5259444454045479E-3</v>
      </c>
      <c r="AO157" s="29"/>
      <c r="AP157" s="106" t="s">
        <v>12</v>
      </c>
    </row>
    <row r="158" spans="1:43" ht="16.149999999999999" thickBot="1" x14ac:dyDescent="0.5">
      <c r="A158" s="312"/>
      <c r="B158" s="16" t="s">
        <v>10</v>
      </c>
      <c r="C158" s="116">
        <v>401</v>
      </c>
      <c r="D158" s="118">
        <f>SUM('Ene 25'!L155)-('Pago Cuota MC 2024'!F155)</f>
        <v>316.91758406351221</v>
      </c>
      <c r="E158" s="108">
        <f>SUM('Pago Cuota MC 2025'!F155)</f>
        <v>600</v>
      </c>
      <c r="F158" s="119">
        <f t="shared" si="8"/>
        <v>283.08241593648779</v>
      </c>
      <c r="G158" s="118">
        <f>SUM('Feb 25'!L155)</f>
        <v>430.60241937482203</v>
      </c>
      <c r="H158" s="108">
        <f>SUM('Pago Cuota MC 2025'!G155)</f>
        <v>0</v>
      </c>
      <c r="I158" s="119">
        <f>SUM(-G158,H158)+Tabla3[[#This Row],[Saldo]]</f>
        <v>-147.52000343833424</v>
      </c>
      <c r="J158" s="118">
        <f>SUM('Mar 25'!L155)</f>
        <v>440.72756778080691</v>
      </c>
      <c r="K158" s="108">
        <f>SUM('Pago Cuota MC 2025'!H155)</f>
        <v>900</v>
      </c>
      <c r="L158" s="119">
        <f>SUM(-J158,K158)+Tabla3[[#This Row],[Saldo4]]</f>
        <v>311.75242878085885</v>
      </c>
      <c r="M158" s="122">
        <f>SUM('Abr 25'!L155)</f>
        <v>476.332960567231</v>
      </c>
      <c r="N158" s="108">
        <f>SUM('Pago Cuota MC 2025'!I155)</f>
        <v>0</v>
      </c>
      <c r="O158" s="119">
        <f>SUM(-M158,N158)+Tabla3[[#This Row],[Saldo7]]</f>
        <v>-164.58053178637215</v>
      </c>
      <c r="P158" s="122">
        <f>SUM('May 25'!L155)</f>
        <v>544.74014174603178</v>
      </c>
      <c r="Q158" s="108">
        <f>SUM('Pago Cuota MC 2025'!J155)</f>
        <v>0</v>
      </c>
      <c r="R158" s="119">
        <f>SUM(-P158,Q158)+Tabla3[[#This Row],[Saldo13]]</f>
        <v>-709.32067353240393</v>
      </c>
      <c r="S158" s="122">
        <f>SUM('Jun 25'!L155)</f>
        <v>472.52754646360052</v>
      </c>
      <c r="T158" s="108">
        <f>SUM('Pago Cuota MC 2025'!K155)</f>
        <v>1100</v>
      </c>
      <c r="U158" s="119">
        <f>SUM(-S158,T158)+Tabla3[[#This Row],[Saldo132]]</f>
        <v>-81.848219996004445</v>
      </c>
      <c r="V158" s="122">
        <f>SUM('Jul 25'!L155)</f>
        <v>440.39090489400894</v>
      </c>
      <c r="W158" s="108">
        <f>SUM('Pago Cuota MC 2025'!L155)</f>
        <v>600</v>
      </c>
      <c r="X158" s="119">
        <f>SUM(-V158,W158)+Tabla3[[#This Row],[Saldo16]]</f>
        <v>77.760875109986614</v>
      </c>
      <c r="Y158" s="122">
        <f>SUM('Ago 25'!L155)</f>
        <v>438.9746647475036</v>
      </c>
      <c r="Z158" s="108">
        <f>SUM('Pago Cuota MC 2025'!M155)</f>
        <v>0</v>
      </c>
      <c r="AA158" s="119">
        <f>SUM(-Y158,Z158)+Tabla3[[#This Row],[Saldo19]]</f>
        <v>-361.21378963751698</v>
      </c>
      <c r="AB158" s="122">
        <f>SUM('Sep 25'!L155)</f>
        <v>458.94944302839116</v>
      </c>
      <c r="AC158" s="108">
        <f>SUM('Pago Cuota MC 2025'!N155)</f>
        <v>0</v>
      </c>
      <c r="AD158" s="119">
        <f>SUM(-AB158,AC158)+Tabla3[[#This Row],[Saldo22]]</f>
        <v>-820.16323266590814</v>
      </c>
      <c r="AE158" s="122">
        <f>SUM('Oct 25'!L155)</f>
        <v>454.78315050103686</v>
      </c>
      <c r="AF158" s="108">
        <f>SUM('Pago Cuota MC 2025'!O155)</f>
        <v>1274.95</v>
      </c>
      <c r="AG158" s="145">
        <f>SUM(-AE158,AF158)+Tabla3[[#This Row],[Saldo25]]</f>
        <v>3.6168330550481187E-3</v>
      </c>
      <c r="AH158" s="122">
        <f>SUM('Nov 25'!L155)</f>
        <v>410.04212002242781</v>
      </c>
      <c r="AI158" s="108">
        <f>SUM('Pago Cuota MC 2025'!P155)</f>
        <v>410.04</v>
      </c>
      <c r="AJ158" s="119">
        <f>SUM(-AH158,AI158)+Tabla3[[#This Row],[Saldo28]]</f>
        <v>1.4968106272590376E-3</v>
      </c>
      <c r="AK158" s="122">
        <f>SUM('Dic 25'!L155)</f>
        <v>328.36011147651527</v>
      </c>
      <c r="AL158" s="108">
        <f>SUM('Pago Cuota MC 2025'!Q155)</f>
        <v>328.36</v>
      </c>
      <c r="AM158" s="145">
        <f>SUM(-AK158,AL158)+Tabla3[[#This Row],[Saldo31]]</f>
        <v>1.3853341120011464E-3</v>
      </c>
      <c r="AN158" s="128">
        <f t="shared" si="9"/>
        <v>1.3853341120011464E-3</v>
      </c>
      <c r="AO158" s="29"/>
      <c r="AP158" s="106" t="s">
        <v>12</v>
      </c>
    </row>
    <row r="159" spans="1:43" ht="16.149999999999999" thickBot="1" x14ac:dyDescent="0.5">
      <c r="A159" s="312"/>
      <c r="B159" s="16" t="s">
        <v>10</v>
      </c>
      <c r="C159" s="116">
        <v>402</v>
      </c>
      <c r="D159" s="118">
        <f>SUM('Ene 25'!L156)-('Pago Cuota MC 2024'!F156)</f>
        <v>332.40185315838249</v>
      </c>
      <c r="E159" s="108">
        <f>SUM('Pago Cuota MC 2025'!F156)</f>
        <v>333</v>
      </c>
      <c r="F159" s="119">
        <f t="shared" si="8"/>
        <v>0.5981468416175062</v>
      </c>
      <c r="G159" s="118">
        <f>SUM('Feb 25'!L156)</f>
        <v>376.94357602534893</v>
      </c>
      <c r="H159" s="108">
        <f>SUM('Pago Cuota MC 2025'!G156)</f>
        <v>377</v>
      </c>
      <c r="I159" s="119">
        <f>SUM(-G159,H159)+Tabla3[[#This Row],[Saldo]]</f>
        <v>0.65457081626857416</v>
      </c>
      <c r="J159" s="118">
        <f>SUM('Mar 25'!L156)</f>
        <v>378.66606898037071</v>
      </c>
      <c r="K159" s="108">
        <f>SUM('Pago Cuota MC 2025'!H156)</f>
        <v>378</v>
      </c>
      <c r="L159" s="119">
        <f>SUM(-J159,K159)+Tabla3[[#This Row],[Saldo4]]</f>
        <v>-1.1498164102135888E-2</v>
      </c>
      <c r="M159" s="122">
        <f>SUM('Abr 25'!L156)</f>
        <v>377.44671226016732</v>
      </c>
      <c r="N159" s="108">
        <f>SUM('Pago Cuota MC 2025'!I156)</f>
        <v>377.5</v>
      </c>
      <c r="O159" s="119">
        <f>SUM(-M159,N159)+Tabla3[[#This Row],[Saldo7]]</f>
        <v>4.1789575730547313E-2</v>
      </c>
      <c r="P159" s="122">
        <f>SUM('May 25'!L156)</f>
        <v>392.42009293650796</v>
      </c>
      <c r="Q159" s="108">
        <f>SUM('Pago Cuota MC 2025'!J156)</f>
        <v>393</v>
      </c>
      <c r="R159" s="119">
        <f>SUM(-P159,Q159)+Tabla3[[#This Row],[Saldo13]]</f>
        <v>0.62169663922259133</v>
      </c>
      <c r="S159" s="122">
        <f>SUM('Jun 25'!L156)</f>
        <v>393.72494786220193</v>
      </c>
      <c r="T159" s="108">
        <f>SUM('Pago Cuota MC 2025'!K156)</f>
        <v>393.1</v>
      </c>
      <c r="U159" s="119">
        <f>SUM(-S159,T159)+Tabla3[[#This Row],[Saldo132]]</f>
        <v>-3.2512229793155711E-3</v>
      </c>
      <c r="V159" s="122">
        <f>SUM('Jul 25'!L156)</f>
        <v>392.46403498673163</v>
      </c>
      <c r="W159" s="108">
        <f>SUM('Pago Cuota MC 2025'!L156)</f>
        <v>393</v>
      </c>
      <c r="X159" s="119">
        <f>SUM(-V159,W159)+Tabla3[[#This Row],[Saldo16]]</f>
        <v>0.5327137902890513</v>
      </c>
      <c r="Y159" s="122">
        <f>SUM('Ago 25'!L156)</f>
        <v>395.27052198002855</v>
      </c>
      <c r="Z159" s="108">
        <f>SUM('Pago Cuota MC 2025'!M156)</f>
        <v>395</v>
      </c>
      <c r="AA159" s="119">
        <f>SUM(-Y159,Z159)+Tabla3[[#This Row],[Saldo19]]</f>
        <v>0.26219181026050364</v>
      </c>
      <c r="AB159" s="122">
        <f>SUM('Sep 25'!L156)</f>
        <v>387.58363861198734</v>
      </c>
      <c r="AC159" s="108">
        <f>SUM('Pago Cuota MC 2025'!N156)</f>
        <v>387.32</v>
      </c>
      <c r="AD159" s="119">
        <f>SUM(-AB159,AC159)+Tabla3[[#This Row],[Saldo22]]</f>
        <v>-1.4468017268427502E-3</v>
      </c>
      <c r="AE159" s="122">
        <f>SUM('Oct 25'!L156)</f>
        <v>383.69203671416147</v>
      </c>
      <c r="AF159" s="108">
        <f>SUM('Pago Cuota MC 2025'!O156)</f>
        <v>384</v>
      </c>
      <c r="AG159" s="145">
        <f>SUM(-AE159,AF159)+Tabla3[[#This Row],[Saldo25]]</f>
        <v>0.30651648411168253</v>
      </c>
      <c r="AH159" s="122">
        <f>SUM('Nov 25'!L156)</f>
        <v>357.67465088870199</v>
      </c>
      <c r="AI159" s="108">
        <f>SUM('Pago Cuota MC 2025'!P156)</f>
        <v>358</v>
      </c>
      <c r="AJ159" s="119">
        <f>SUM(-AH159,AI159)+Tabla3[[#This Row],[Saldo28]]</f>
        <v>0.63186559540969256</v>
      </c>
      <c r="AK159" s="122">
        <f>SUM('Dic 25'!L156)</f>
        <v>377.67105972091667</v>
      </c>
      <c r="AL159" s="108">
        <f>SUM('Pago Cuota MC 2025'!Q156)</f>
        <v>377.04</v>
      </c>
      <c r="AM159" s="145">
        <f>SUM(-AK159,AL159)+Tabla3[[#This Row],[Saldo31]]</f>
        <v>8.0587449303948233E-4</v>
      </c>
      <c r="AN159" s="128">
        <f t="shared" si="9"/>
        <v>8.0587449303948233E-4</v>
      </c>
      <c r="AO159" s="29"/>
      <c r="AP159" s="106" t="s">
        <v>12</v>
      </c>
    </row>
    <row r="160" spans="1:43" ht="16.149999999999999" thickBot="1" x14ac:dyDescent="0.5">
      <c r="A160" s="312"/>
      <c r="B160" s="16" t="s">
        <v>10</v>
      </c>
      <c r="C160" s="116">
        <v>403</v>
      </c>
      <c r="D160" s="118">
        <f>SUM('Ene 25'!L157)-('Pago Cuota MC 2024'!F157)</f>
        <v>311.09245681706153</v>
      </c>
      <c r="E160" s="108">
        <f>SUM('Pago Cuota MC 2025'!F157)</f>
        <v>311.08999999999997</v>
      </c>
      <c r="F160" s="119">
        <f t="shared" si="8"/>
        <v>-2.4568170615566487E-3</v>
      </c>
      <c r="G160" s="118">
        <f>SUM('Feb 25'!L157)</f>
        <v>322.36578294645403</v>
      </c>
      <c r="H160" s="108">
        <f>SUM('Pago Cuota MC 2025'!G157)</f>
        <v>322.37</v>
      </c>
      <c r="I160" s="119">
        <f>SUM(-G160,H160)+Tabla3[[#This Row],[Saldo]]</f>
        <v>1.7602364844151452E-3</v>
      </c>
      <c r="J160" s="118">
        <f>SUM('Mar 25'!L157)</f>
        <v>350.13690273173387</v>
      </c>
      <c r="K160" s="108">
        <f>SUM('Pago Cuota MC 2025'!H157)</f>
        <v>350.14</v>
      </c>
      <c r="L160" s="119">
        <f>SUM(-J160,K160)+Tabla3[[#This Row],[Saldo4]]</f>
        <v>4.857504750532371E-3</v>
      </c>
      <c r="M160" s="122">
        <f>SUM('Abr 25'!L157)</f>
        <v>347.43708178731265</v>
      </c>
      <c r="N160" s="108">
        <f>SUM('Pago Cuota MC 2025'!I157)</f>
        <v>347.44</v>
      </c>
      <c r="O160" s="119">
        <f>SUM(-M160,N160)+Tabla3[[#This Row],[Saldo7]]</f>
        <v>7.7757174378803029E-3</v>
      </c>
      <c r="P160" s="122">
        <f>SUM('May 25'!L157)</f>
        <v>469.00087388888886</v>
      </c>
      <c r="Q160" s="108">
        <f>SUM('Pago Cuota MC 2025'!J157)</f>
        <v>469</v>
      </c>
      <c r="R160" s="119">
        <f>SUM(-P160,Q160)+Tabla3[[#This Row],[Saldo13]]</f>
        <v>6.9018285490187736E-3</v>
      </c>
      <c r="S160" s="122">
        <f>SUM('Jun 25'!L157)</f>
        <v>330.01282249910344</v>
      </c>
      <c r="T160" s="108">
        <f>SUM('Pago Cuota MC 2025'!K157)</f>
        <v>330.01</v>
      </c>
      <c r="U160" s="119">
        <f>SUM(-S160,T160)+Tabla3[[#This Row],[Saldo132]]</f>
        <v>4.079329445573876E-3</v>
      </c>
      <c r="V160" s="122">
        <f>SUM('Jul 25'!L157)</f>
        <v>446.47503380662488</v>
      </c>
      <c r="W160" s="108">
        <f>SUM('Pago Cuota MC 2025'!L157)</f>
        <v>446.48</v>
      </c>
      <c r="X160" s="119">
        <f>SUM(-V160,W160)+Tabla3[[#This Row],[Saldo16]]</f>
        <v>9.0455228207133587E-3</v>
      </c>
      <c r="Y160" s="122">
        <f>SUM('Ago 25'!L157)</f>
        <v>419.70527085306708</v>
      </c>
      <c r="Z160" s="108">
        <f>SUM('Pago Cuota MC 2025'!M157)</f>
        <v>419.71</v>
      </c>
      <c r="AA160" s="119">
        <f>SUM(-Y160,Z160)+Tabla3[[#This Row],[Saldo19]]</f>
        <v>1.3774669753615854E-2</v>
      </c>
      <c r="AB160" s="122">
        <f>SUM('Sep 25'!L157)</f>
        <v>406.4244941324921</v>
      </c>
      <c r="AC160" s="108">
        <f>SUM('Pago Cuota MC 2025'!N157)</f>
        <v>406.42</v>
      </c>
      <c r="AD160" s="119">
        <f>SUM(-AB160,AC160)+Tabla3[[#This Row],[Saldo22]]</f>
        <v>9.2805372615316628E-3</v>
      </c>
      <c r="AE160" s="122">
        <f>SUM('Oct 25'!L157)</f>
        <v>402.44855525720783</v>
      </c>
      <c r="AF160" s="108">
        <f>SUM('Pago Cuota MC 2025'!O157)</f>
        <v>402.45</v>
      </c>
      <c r="AG160" s="145">
        <f>SUM(-AE160,AF160)+Tabla3[[#This Row],[Saldo25]]</f>
        <v>1.0725280053691222E-2</v>
      </c>
      <c r="AH160" s="122">
        <f>SUM('Nov 25'!L157)</f>
        <v>396.79146720493407</v>
      </c>
      <c r="AI160" s="108">
        <f>SUM('Pago Cuota MC 2025'!P157)</f>
        <v>396.79</v>
      </c>
      <c r="AJ160" s="119">
        <f>SUM(-AH160,AI160)+Tabla3[[#This Row],[Saldo28]]</f>
        <v>9.2580751196464917E-3</v>
      </c>
      <c r="AK160" s="122">
        <f>SUM('Dic 25'!L157)</f>
        <v>410.67865922326666</v>
      </c>
      <c r="AL160" s="108">
        <f>SUM('Pago Cuota MC 2025'!Q157)</f>
        <v>0</v>
      </c>
      <c r="AM160" s="145">
        <f>SUM(-AK160,AL160)+Tabla3[[#This Row],[Saldo31]]</f>
        <v>-410.66940114814702</v>
      </c>
      <c r="AN160" s="128">
        <f t="shared" si="9"/>
        <v>-410.66940114814702</v>
      </c>
      <c r="AO160" s="29"/>
      <c r="AP160" s="106">
        <f>SUM(Tabla3[[#This Row],[Saldo Anual]])</f>
        <v>-410.66940114814702</v>
      </c>
    </row>
    <row r="161" spans="1:43" ht="16.149999999999999" thickBot="1" x14ac:dyDescent="0.5">
      <c r="A161" s="312"/>
      <c r="B161" s="16" t="s">
        <v>10</v>
      </c>
      <c r="C161" s="116">
        <v>404</v>
      </c>
      <c r="D161" s="118">
        <f>SUM('Ene 25'!L158)-('Pago Cuota MC 2024'!F158)</f>
        <v>330.01734879312255</v>
      </c>
      <c r="E161" s="108">
        <f>SUM('Pago Cuota MC 2025'!F158)</f>
        <v>350</v>
      </c>
      <c r="F161" s="119">
        <f t="shared" si="8"/>
        <v>19.982651206877449</v>
      </c>
      <c r="G161" s="118">
        <f>SUM('Feb 25'!L158)</f>
        <v>396.88674036599264</v>
      </c>
      <c r="H161" s="108">
        <f>SUM('Pago Cuota MC 2025'!G158)</f>
        <v>400</v>
      </c>
      <c r="I161" s="119">
        <f>SUM(-G161,H161)+Tabla3[[#This Row],[Saldo]]</f>
        <v>23.095910840884812</v>
      </c>
      <c r="J161" s="118">
        <f>SUM('Mar 25'!L158)</f>
        <v>396.70821707197376</v>
      </c>
      <c r="K161" s="108">
        <f>SUM('Pago Cuota MC 2025'!H158)</f>
        <v>350</v>
      </c>
      <c r="L161" s="119">
        <f>SUM(-J161,K161)+Tabla3[[#This Row],[Saldo4]]</f>
        <v>-23.612306231088951</v>
      </c>
      <c r="M161" s="122">
        <f>SUM('Abr 25'!L158)</f>
        <v>385.3313563640786</v>
      </c>
      <c r="N161" s="108">
        <f>SUM('Pago Cuota MC 2025'!I158)</f>
        <v>350</v>
      </c>
      <c r="O161" s="119">
        <f>SUM(-M161,N161)+Tabla3[[#This Row],[Saldo7]]</f>
        <v>-58.943662595167552</v>
      </c>
      <c r="P161" s="122">
        <f>SUM('May 25'!L158)</f>
        <v>406.18636079365081</v>
      </c>
      <c r="Q161" s="108">
        <f>SUM('Pago Cuota MC 2025'!J158)</f>
        <v>350</v>
      </c>
      <c r="R161" s="119">
        <f>SUM(-P161,Q161)+Tabla3[[#This Row],[Saldo13]]</f>
        <v>-115.13002338881836</v>
      </c>
      <c r="S161" s="122">
        <f>SUM('Jun 25'!L158)</f>
        <v>399.22473183207819</v>
      </c>
      <c r="T161" s="108">
        <f>SUM('Pago Cuota MC 2025'!K158)</f>
        <v>350</v>
      </c>
      <c r="U161" s="119">
        <f>SUM(-S161,T161)+Tabla3[[#This Row],[Saldo132]]</f>
        <v>-164.35475522089655</v>
      </c>
      <c r="V161" s="122">
        <f>SUM('Jul 25'!L158)</f>
        <v>396.99565892604039</v>
      </c>
      <c r="W161" s="108">
        <f>SUM('Pago Cuota MC 2025'!L158)</f>
        <v>350</v>
      </c>
      <c r="X161" s="119">
        <f>SUM(-V161,W161)+Tabla3[[#This Row],[Saldo16]]</f>
        <v>-211.35041414693694</v>
      </c>
      <c r="Y161" s="122">
        <f>SUM('Ago 25'!L158)</f>
        <v>400.23029293580601</v>
      </c>
      <c r="Z161" s="108">
        <f>SUM('Pago Cuota MC 2025'!M158)</f>
        <v>350</v>
      </c>
      <c r="AA161" s="119">
        <f>SUM(-Y161,Z161)+Tabla3[[#This Row],[Saldo19]]</f>
        <v>-261.58070708274295</v>
      </c>
      <c r="AB161" s="122">
        <f>SUM('Sep 25'!L158)</f>
        <v>379.24099634069398</v>
      </c>
      <c r="AC161" s="108">
        <f>SUM('Pago Cuota MC 2025'!N158)</f>
        <v>500</v>
      </c>
      <c r="AD161" s="119">
        <f>SUM(-AB161,AC161)+Tabla3[[#This Row],[Saldo22]]</f>
        <v>-140.82170342343693</v>
      </c>
      <c r="AE161" s="122">
        <f>SUM('Oct 25'!L158)</f>
        <v>385.38673846009766</v>
      </c>
      <c r="AF161" s="108">
        <f>SUM('Pago Cuota MC 2025'!O158)</f>
        <v>500</v>
      </c>
      <c r="AG161" s="145">
        <f>SUM(-AE161,AF161)+Tabla3[[#This Row],[Saldo25]]</f>
        <v>-26.20844188353459</v>
      </c>
      <c r="AH161" s="122">
        <f>SUM('Nov 25'!L158)</f>
        <v>397.66129899635547</v>
      </c>
      <c r="AI161" s="108">
        <f>SUM('Pago Cuota MC 2025'!P158)</f>
        <v>328</v>
      </c>
      <c r="AJ161" s="119">
        <f>SUM(-AH161,AI161)+Tabla3[[#This Row],[Saldo28]]</f>
        <v>-95.86974087989006</v>
      </c>
      <c r="AK161" s="122">
        <f>SUM('Dic 25'!L158)</f>
        <v>396.219705698246</v>
      </c>
      <c r="AL161" s="108">
        <f>SUM('Pago Cuota MC 2025'!Q158)</f>
        <v>0</v>
      </c>
      <c r="AM161" s="145">
        <f>SUM(-AK161,AL161)+Tabla3[[#This Row],[Saldo31]]</f>
        <v>-492.08944657813606</v>
      </c>
      <c r="AN161" s="128">
        <f t="shared" si="9"/>
        <v>-492.08944657813606</v>
      </c>
      <c r="AO161" s="29"/>
      <c r="AP161" s="106">
        <f>SUM(Tabla3[[#This Row],[Saldo Anual]])</f>
        <v>-492.08944657813606</v>
      </c>
    </row>
    <row r="162" spans="1:43" ht="16.149999999999999" thickBot="1" x14ac:dyDescent="0.5">
      <c r="A162" s="312"/>
      <c r="B162" s="16" t="s">
        <v>10</v>
      </c>
      <c r="C162" s="116">
        <v>501</v>
      </c>
      <c r="D162" s="118">
        <f>SUM('Ene 25'!L159)-('Pago Cuota MC 2024'!F159)</f>
        <v>328.12261828669097</v>
      </c>
      <c r="E162" s="108">
        <f>SUM('Pago Cuota MC 2025'!F159)</f>
        <v>328.12</v>
      </c>
      <c r="F162" s="119">
        <f t="shared" si="8"/>
        <v>-2.6182866909607583E-3</v>
      </c>
      <c r="G162" s="118">
        <f>SUM('Feb 25'!L159)</f>
        <v>393.72320704215326</v>
      </c>
      <c r="H162" s="108">
        <f>SUM('Pago Cuota MC 2025'!G159)</f>
        <v>393.73</v>
      </c>
      <c r="I162" s="119">
        <f>SUM(-G162,H162)+Tabla3[[#This Row],[Saldo]]</f>
        <v>4.1746711557948402E-3</v>
      </c>
      <c r="J162" s="118">
        <f>SUM('Mar 25'!L159)</f>
        <v>418.27764171755723</v>
      </c>
      <c r="K162" s="108">
        <f>SUM('Pago Cuota MC 2025'!H159)</f>
        <v>418.28</v>
      </c>
      <c r="L162" s="119">
        <f>SUM(-J162,K162)+Tabla3[[#This Row],[Saldo4]]</f>
        <v>6.5329535985370057E-3</v>
      </c>
      <c r="M162" s="122">
        <f>SUM('Abr 25'!L159)</f>
        <v>386.41707063728347</v>
      </c>
      <c r="N162" s="108">
        <f>SUM('Pago Cuota MC 2025'!I159)</f>
        <v>386.41</v>
      </c>
      <c r="O162" s="119">
        <f>SUM(-M162,N162)+Tabla3[[#This Row],[Saldo7]]</f>
        <v>-5.3768368491091678E-4</v>
      </c>
      <c r="P162" s="122">
        <f>SUM('May 25'!L159)</f>
        <v>465.49860365079365</v>
      </c>
      <c r="Q162" s="108">
        <f>SUM('Pago Cuota MC 2025'!J159)</f>
        <v>465.5</v>
      </c>
      <c r="R162" s="119">
        <f>SUM(-P162,Q162)+Tabla3[[#This Row],[Saldo13]]</f>
        <v>8.5866552143443187E-4</v>
      </c>
      <c r="S162" s="122">
        <f>SUM('Jun 25'!L159)</f>
        <v>450.29456486058814</v>
      </c>
      <c r="T162" s="108">
        <f>SUM('Pago Cuota MC 2025'!K159)</f>
        <v>450.29</v>
      </c>
      <c r="U162" s="119">
        <f>SUM(-S162,T162)+Tabla3[[#This Row],[Saldo132]]</f>
        <v>-3.7061950666839039E-3</v>
      </c>
      <c r="V162" s="122">
        <f>SUM('Jul 25'!L159)</f>
        <v>446.13790607411573</v>
      </c>
      <c r="W162" s="108">
        <f>SUM('Pago Cuota MC 2025'!L159)</f>
        <v>446.14</v>
      </c>
      <c r="X162" s="119">
        <f>SUM(-V162,W162)+Tabla3[[#This Row],[Saldo16]]</f>
        <v>-1.6122691824307367E-3</v>
      </c>
      <c r="Y162" s="122">
        <f>SUM('Ago 25'!L159)</f>
        <v>446.3023522796006</v>
      </c>
      <c r="Z162" s="108">
        <f>SUM('Pago Cuota MC 2025'!M159)</f>
        <v>446.3</v>
      </c>
      <c r="AA162" s="119">
        <f>SUM(-Y162,Z162)+Tabla3[[#This Row],[Saldo19]]</f>
        <v>-3.9645487830171078E-3</v>
      </c>
      <c r="AB162" s="122">
        <f>SUM('Sep 25'!L159)</f>
        <v>371.42656605678235</v>
      </c>
      <c r="AC162" s="108">
        <f>SUM('Pago Cuota MC 2025'!N159)</f>
        <v>367.61</v>
      </c>
      <c r="AD162" s="119">
        <f>SUM(-AB162,AC162)+Tabla3[[#This Row],[Saldo22]]</f>
        <v>-3.8205306055653523</v>
      </c>
      <c r="AE162" s="122">
        <f>SUM('Oct 25'!L159)</f>
        <v>367.60728776774363</v>
      </c>
      <c r="AF162" s="108">
        <f>SUM('Pago Cuota MC 2025'!O159)</f>
        <v>329.32</v>
      </c>
      <c r="AG162" s="145">
        <f>SUM(-AE162,AF162)+Tabla3[[#This Row],[Saldo25]]</f>
        <v>-42.107818373308987</v>
      </c>
      <c r="AH162" s="122">
        <f>SUM('Nov 25'!L159)</f>
        <v>329.32349378188951</v>
      </c>
      <c r="AI162" s="108">
        <f>SUM('Pago Cuota MC 2025'!P159)</f>
        <v>0</v>
      </c>
      <c r="AJ162" s="119">
        <f>SUM(-AH162,AI162)+Tabla3[[#This Row],[Saldo28]]</f>
        <v>-371.4313121551985</v>
      </c>
      <c r="AK162" s="122">
        <f>SUM('Dic 25'!L159)</f>
        <v>393.69638123045502</v>
      </c>
      <c r="AL162" s="108">
        <f>SUM('Pago Cuota MC 2025'!Q159)</f>
        <v>0</v>
      </c>
      <c r="AM162" s="145">
        <f>SUM(-AK162,AL162)+Tabla3[[#This Row],[Saldo31]]</f>
        <v>-765.12769338565352</v>
      </c>
      <c r="AN162" s="128">
        <f t="shared" si="9"/>
        <v>-765.12769338565352</v>
      </c>
      <c r="AO162" s="29"/>
      <c r="AP162" s="106">
        <f>SUM(Tabla3[[#This Row],[Saldo Anual]])</f>
        <v>-765.12769338565352</v>
      </c>
    </row>
    <row r="163" spans="1:43" ht="16.149999999999999" thickBot="1" x14ac:dyDescent="0.5">
      <c r="A163" s="312"/>
      <c r="B163" s="16" t="s">
        <v>10</v>
      </c>
      <c r="C163" s="116">
        <v>502</v>
      </c>
      <c r="D163" s="118">
        <f>SUM('Ene 25'!L160)-('Pago Cuota MC 2024'!F160)</f>
        <v>335.20734532022772</v>
      </c>
      <c r="E163" s="108">
        <f>SUM('Pago Cuota MC 2025'!F160)</f>
        <v>336</v>
      </c>
      <c r="F163" s="119">
        <f t="shared" si="8"/>
        <v>0.79265467977228354</v>
      </c>
      <c r="G163" s="118">
        <f>SUM('Feb 25'!L160)</f>
        <v>410.7609260680718</v>
      </c>
      <c r="H163" s="108">
        <f>SUM('Pago Cuota MC 2025'!G160)</f>
        <v>410</v>
      </c>
      <c r="I163" s="119">
        <f>SUM(-G163,H163)+Tabla3[[#This Row],[Saldo]]</f>
        <v>3.1728611700486908E-2</v>
      </c>
      <c r="J163" s="118">
        <f>SUM('Mar 25'!L160)</f>
        <v>419.80142039803701</v>
      </c>
      <c r="K163" s="108">
        <f>SUM('Pago Cuota MC 2025'!H160)</f>
        <v>420</v>
      </c>
      <c r="L163" s="119">
        <f>SUM(-J163,K163)+Tabla3[[#This Row],[Saldo4]]</f>
        <v>0.23030821366347709</v>
      </c>
      <c r="M163" s="122">
        <f>SUM('Abr 25'!L160)</f>
        <v>401.99524060225724</v>
      </c>
      <c r="N163" s="108">
        <f>SUM('Pago Cuota MC 2025'!I160)</f>
        <v>403</v>
      </c>
      <c r="O163" s="119">
        <f>SUM(-M163,N163)+Tabla3[[#This Row],[Saldo7]]</f>
        <v>1.2350676114062367</v>
      </c>
      <c r="P163" s="122">
        <f>SUM('May 25'!L160)</f>
        <v>406.52794531746031</v>
      </c>
      <c r="Q163" s="108">
        <f>SUM('Pago Cuota MC 2025'!J160)</f>
        <v>406</v>
      </c>
      <c r="R163" s="119">
        <f>SUM(-P163,Q163)+Tabla3[[#This Row],[Saldo13]]</f>
        <v>0.70712229394592896</v>
      </c>
      <c r="S163" s="122">
        <f>SUM('Jun 25'!L160)</f>
        <v>401.64786340819438</v>
      </c>
      <c r="T163" s="108">
        <f>SUM('Pago Cuota MC 2025'!K160)</f>
        <v>401</v>
      </c>
      <c r="U163" s="119">
        <f>SUM(-S163,T163)+Tabla3[[#This Row],[Saldo132]]</f>
        <v>5.9258885751546586E-2</v>
      </c>
      <c r="V163" s="122">
        <f>SUM('Jul 25'!L160)</f>
        <v>390.61375254784429</v>
      </c>
      <c r="W163" s="108">
        <f>SUM('Pago Cuota MC 2025'!L160)</f>
        <v>391</v>
      </c>
      <c r="X163" s="119">
        <f>SUM(-V163,W163)+Tabla3[[#This Row],[Saldo16]]</f>
        <v>0.44550633790726124</v>
      </c>
      <c r="Y163" s="122">
        <f>SUM('Ago 25'!L160)</f>
        <v>384.83423701569188</v>
      </c>
      <c r="Z163" s="108">
        <f>SUM('Pago Cuota MC 2025'!M160)</f>
        <v>385</v>
      </c>
      <c r="AA163" s="119">
        <f>SUM(-Y163,Z163)+Tabla3[[#This Row],[Saldo19]]</f>
        <v>0.611269322215378</v>
      </c>
      <c r="AB163" s="122">
        <f>SUM('Sep 25'!L160)</f>
        <v>389.76251305993691</v>
      </c>
      <c r="AC163" s="108">
        <f>SUM('Pago Cuota MC 2025'!N160)</f>
        <v>390</v>
      </c>
      <c r="AD163" s="119">
        <f>SUM(-AB163,AC163)+Tabla3[[#This Row],[Saldo22]]</f>
        <v>0.84875626227847079</v>
      </c>
      <c r="AE163" s="122">
        <f>SUM('Oct 25'!L160)</f>
        <v>385.86115790621443</v>
      </c>
      <c r="AF163" s="108">
        <f>SUM('Pago Cuota MC 2025'!O160)</f>
        <v>386</v>
      </c>
      <c r="AG163" s="145">
        <f>SUM(-AE163,AF163)+Tabla3[[#This Row],[Saldo25]]</f>
        <v>0.98759835606404067</v>
      </c>
      <c r="AH163" s="122">
        <f>SUM('Nov 25'!L160)</f>
        <v>387.33975828987946</v>
      </c>
      <c r="AI163" s="108">
        <f>SUM('Pago Cuota MC 2025'!P160)</f>
        <v>387</v>
      </c>
      <c r="AJ163" s="119">
        <f>SUM(-AH163,AI163)+Tabla3[[#This Row],[Saldo28]]</f>
        <v>0.64784006618458534</v>
      </c>
      <c r="AK163" s="122">
        <f>SUM('Dic 25'!L160)</f>
        <v>680.96474492965319</v>
      </c>
      <c r="AL163" s="108">
        <f>SUM('Pago Cuota MC 2025'!Q160)</f>
        <v>982</v>
      </c>
      <c r="AM163" s="145">
        <f>SUM(-AK163,AL163)+Tabla3[[#This Row],[Saldo31]]</f>
        <v>301.68309513653139</v>
      </c>
      <c r="AN163" s="128">
        <f t="shared" si="9"/>
        <v>301.68309513653139</v>
      </c>
      <c r="AO163" s="29"/>
      <c r="AP163" s="106" t="s">
        <v>12</v>
      </c>
    </row>
    <row r="164" spans="1:43" ht="16.149999999999999" thickBot="1" x14ac:dyDescent="0.5">
      <c r="A164" s="312"/>
      <c r="B164" s="16" t="s">
        <v>10</v>
      </c>
      <c r="C164" s="116">
        <v>503</v>
      </c>
      <c r="D164" s="118">
        <f>SUM('Ene 25'!L161)-('Pago Cuota MC 2024'!F161)</f>
        <v>-3.2142675952968602E-3</v>
      </c>
      <c r="E164" s="108">
        <f>SUM('Pago Cuota MC 2025'!F161)</f>
        <v>0</v>
      </c>
      <c r="F164" s="119">
        <f t="shared" si="8"/>
        <v>3.2142675952968602E-3</v>
      </c>
      <c r="G164" s="118">
        <f>SUM('Feb 25'!L161)</f>
        <v>461.92882908715467</v>
      </c>
      <c r="H164" s="108">
        <f>SUM('Pago Cuota MC 2025'!G161)</f>
        <v>461.93</v>
      </c>
      <c r="I164" s="119">
        <f>SUM(-G164,H164)+Tabla3[[#This Row],[Saldo]]</f>
        <v>4.3851804406358497E-3</v>
      </c>
      <c r="J164" s="118">
        <f>SUM('Mar 25'!L161)</f>
        <v>376.29749111777528</v>
      </c>
      <c r="K164" s="108">
        <f>SUM('Pago Cuota MC 2025'!H161)</f>
        <v>376.29</v>
      </c>
      <c r="L164" s="119">
        <f>SUM(-J164,K164)+Tabla3[[#This Row],[Saldo4]]</f>
        <v>-3.1059373346238317E-3</v>
      </c>
      <c r="M164" s="122">
        <f>SUM('Abr 25'!L161)</f>
        <v>371.54644480540958</v>
      </c>
      <c r="N164" s="108">
        <f>SUM('Pago Cuota MC 2025'!I161)</f>
        <v>371.55</v>
      </c>
      <c r="O164" s="119">
        <f>SUM(-M164,N164)+Tabla3[[#This Row],[Saldo7]]</f>
        <v>4.4925725580924336E-4</v>
      </c>
      <c r="P164" s="122">
        <f>SUM('May 25'!L161)</f>
        <v>398.41222626984126</v>
      </c>
      <c r="Q164" s="108">
        <f>SUM('Pago Cuota MC 2025'!J161)</f>
        <v>398.41</v>
      </c>
      <c r="R164" s="119">
        <f>SUM(-P164,Q164)+Tabla3[[#This Row],[Saldo13]]</f>
        <v>-1.7770125854212893E-3</v>
      </c>
      <c r="S164" s="122">
        <f>SUM('Jun 25'!L161)</f>
        <v>372.74110603864085</v>
      </c>
      <c r="T164" s="108">
        <f>SUM('Pago Cuota MC 2025'!K161)</f>
        <v>372.74</v>
      </c>
      <c r="U164" s="119">
        <f>SUM(-S164,T164)+Tabla3[[#This Row],[Saldo132]]</f>
        <v>-2.8830512262629782E-3</v>
      </c>
      <c r="V164" s="122">
        <f>SUM('Jul 25'!L161)</f>
        <v>387.48944088726546</v>
      </c>
      <c r="W164" s="108">
        <f>SUM('Pago Cuota MC 2025'!L161)</f>
        <v>0</v>
      </c>
      <c r="X164" s="119">
        <f>SUM(-V164,W164)+Tabla3[[#This Row],[Saldo16]]</f>
        <v>-387.49232393849172</v>
      </c>
      <c r="Y164" s="122">
        <f>SUM('Ago 25'!L161)</f>
        <v>388.26737984022827</v>
      </c>
      <c r="Z164" s="108">
        <f>SUM('Pago Cuota MC 2025'!M161)</f>
        <v>775.76</v>
      </c>
      <c r="AA164" s="119">
        <f>SUM(-Y164,Z164)+Tabla3[[#This Row],[Saldo19]]</f>
        <v>2.9622127999573422E-4</v>
      </c>
      <c r="AB164" s="122">
        <f>SUM('Sep 25'!L161)</f>
        <v>374.24240201892746</v>
      </c>
      <c r="AC164" s="108">
        <f>SUM('Pago Cuota MC 2025'!N161)</f>
        <v>374.24</v>
      </c>
      <c r="AD164" s="119">
        <f>SUM(-AB164,AC164)+Tabla3[[#This Row],[Saldo22]]</f>
        <v>-2.1057976474594398E-3</v>
      </c>
      <c r="AE164" s="122">
        <f>SUM('Oct 25'!L161)</f>
        <v>370.41051925479962</v>
      </c>
      <c r="AF164" s="108">
        <f>SUM('Pago Cuota MC 2025'!O161)</f>
        <v>0</v>
      </c>
      <c r="AG164" s="145">
        <f>SUM(-AE164,AF164)+Tabla3[[#This Row],[Saldo25]]</f>
        <v>-370.41262505244708</v>
      </c>
      <c r="AH164" s="122">
        <f>SUM('Nov 25'!L161)</f>
        <v>377.70941564900477</v>
      </c>
      <c r="AI164" s="108">
        <f>SUM('Pago Cuota MC 2025'!P161)</f>
        <v>748.12</v>
      </c>
      <c r="AJ164" s="119">
        <f>SUM(-AH164,AI164)+Tabla3[[#This Row],[Saldo28]]</f>
        <v>-2.0407014518468714E-3</v>
      </c>
      <c r="AK164" s="122">
        <f>SUM('Dic 25'!L161)</f>
        <v>390.83007890808835</v>
      </c>
      <c r="AL164" s="108">
        <f>SUM('Pago Cuota MC 2025'!Q161)</f>
        <v>0</v>
      </c>
      <c r="AM164" s="145">
        <f>SUM(-AK164,AL164)+Tabla3[[#This Row],[Saldo31]]</f>
        <v>-390.8321196095402</v>
      </c>
      <c r="AN164" s="128">
        <f t="shared" si="9"/>
        <v>-390.8321196095402</v>
      </c>
      <c r="AO164" s="29"/>
      <c r="AP164" s="106">
        <f>SUM(Tabla3[[#This Row],[Saldo Anual]])</f>
        <v>-390.8321196095402</v>
      </c>
    </row>
    <row r="165" spans="1:43" ht="16.149999999999999" thickBot="1" x14ac:dyDescent="0.5">
      <c r="A165" s="312"/>
      <c r="B165" s="16" t="s">
        <v>10</v>
      </c>
      <c r="C165" s="116">
        <v>504</v>
      </c>
      <c r="D165" s="118">
        <f>SUM('Ene 25'!L162)-('Pago Cuota MC 2024'!F162)</f>
        <v>358.09072009256067</v>
      </c>
      <c r="E165" s="108">
        <f>SUM('Pago Cuota MC 2025'!F162)</f>
        <v>358.09</v>
      </c>
      <c r="F165" s="119">
        <f t="shared" si="8"/>
        <v>-7.2009256069804906E-4</v>
      </c>
      <c r="G165" s="118">
        <f>SUM('Feb 25'!L162)</f>
        <v>439.73717072771296</v>
      </c>
      <c r="H165" s="108">
        <f>SUM('Pago Cuota MC 2025'!G162)</f>
        <v>0</v>
      </c>
      <c r="I165" s="119">
        <f>SUM(-G165,H165)+Tabla3[[#This Row],[Saldo]]</f>
        <v>-439.73789082027366</v>
      </c>
      <c r="J165" s="118">
        <f>SUM('Mar 25'!L162)</f>
        <v>448.06697416030528</v>
      </c>
      <c r="K165" s="108">
        <f>SUM('Pago Cuota MC 2025'!H162)</f>
        <v>887.8</v>
      </c>
      <c r="L165" s="119">
        <f>SUM(-J165,K165)+Tabla3[[#This Row],[Saldo4]]</f>
        <v>-4.8649805789864331E-3</v>
      </c>
      <c r="M165" s="122">
        <f>SUM('Abr 25'!L162)</f>
        <v>464.10952571609261</v>
      </c>
      <c r="N165" s="108">
        <f>SUM('Pago Cuota MC 2025'!I162)</f>
        <v>463.11</v>
      </c>
      <c r="O165" s="119">
        <f>SUM(-M165,N165)+Tabla3[[#This Row],[Saldo7]]</f>
        <v>-1.0043906966715781</v>
      </c>
      <c r="P165" s="122">
        <f>SUM('May 25'!L162)</f>
        <v>461.68767269841271</v>
      </c>
      <c r="Q165" s="108">
        <f>SUM('Pago Cuota MC 2025'!J162)</f>
        <v>464.11</v>
      </c>
      <c r="R165" s="119">
        <f>SUM(-P165,Q165)+Tabla3[[#This Row],[Saldo13]]</f>
        <v>1.4179366049157238</v>
      </c>
      <c r="S165" s="122">
        <f>SUM('Jun 25'!L162)</f>
        <v>428.58309538775325</v>
      </c>
      <c r="T165" s="108">
        <f>SUM('Pago Cuota MC 2025'!K162)</f>
        <v>427.17</v>
      </c>
      <c r="U165" s="119">
        <f>SUM(-S165,T165)+Tabla3[[#This Row],[Saldo132]]</f>
        <v>4.8412171624931943E-3</v>
      </c>
      <c r="V165" s="122">
        <f>SUM('Jul 25'!L162)</f>
        <v>403.23252197745933</v>
      </c>
      <c r="W165" s="108">
        <f>SUM('Pago Cuota MC 2025'!L162)</f>
        <v>0</v>
      </c>
      <c r="X165" s="119">
        <f>SUM(-V165,W165)+Tabla3[[#This Row],[Saldo16]]</f>
        <v>-403.22768076029683</v>
      </c>
      <c r="Y165" s="122">
        <f>SUM('Ago 25'!L162)</f>
        <v>324.55872831383738</v>
      </c>
      <c r="Z165" s="108">
        <f>SUM('Pago Cuota MC 2025'!M162)</f>
        <v>0</v>
      </c>
      <c r="AA165" s="119">
        <f>SUM(-Y165,Z165)+Tabla3[[#This Row],[Saldo19]]</f>
        <v>-727.78640907413421</v>
      </c>
      <c r="AB165" s="122">
        <f>SUM('Sep 25'!L162)</f>
        <v>330.82696479495263</v>
      </c>
      <c r="AC165" s="108">
        <f>SUM('Pago Cuota MC 2025'!N162)</f>
        <v>0</v>
      </c>
      <c r="AD165" s="119">
        <f>SUM(-AB165,AC165)+Tabla3[[#This Row],[Saldo22]]</f>
        <v>-1058.6133738690869</v>
      </c>
      <c r="AE165" s="122">
        <f>SUM('Oct 25'!L162)</f>
        <v>327.23418457689473</v>
      </c>
      <c r="AF165" s="108">
        <f>SUM('Pago Cuota MC 2025'!O162)</f>
        <v>0</v>
      </c>
      <c r="AG165" s="145">
        <f>SUM(-AE165,AF165)+Tabla3[[#This Row],[Saldo25]]</f>
        <v>-1385.8475584459816</v>
      </c>
      <c r="AH165" s="122">
        <f>SUM('Nov 25'!L162)</f>
        <v>343.02319672553966</v>
      </c>
      <c r="AI165" s="108">
        <f>SUM('Pago Cuota MC 2025'!P162)</f>
        <v>1800</v>
      </c>
      <c r="AJ165" s="119">
        <f>SUM(-AH165,AI165)+Tabla3[[#This Row],[Saldo28]]</f>
        <v>71.129244828478704</v>
      </c>
      <c r="AK165" s="122">
        <f>SUM('Dic 25'!L162)</f>
        <v>332.36520124704333</v>
      </c>
      <c r="AL165" s="108">
        <f>SUM('Pago Cuota MC 2025'!Q162)</f>
        <v>0</v>
      </c>
      <c r="AM165" s="145">
        <f>SUM(-AK165,AL165)+Tabla3[[#This Row],[Saldo31]]</f>
        <v>-261.23595641856463</v>
      </c>
      <c r="AN165" s="128">
        <f t="shared" si="9"/>
        <v>-261.23595641856463</v>
      </c>
      <c r="AO165" s="29"/>
      <c r="AP165" s="106">
        <f>SUM(Tabla3[[#This Row],[Saldo Anual]])</f>
        <v>-261.23595641856463</v>
      </c>
    </row>
    <row r="166" spans="1:43" ht="16.149999999999999" thickBot="1" x14ac:dyDescent="0.5">
      <c r="A166" s="313"/>
      <c r="B166" s="16" t="s">
        <v>11</v>
      </c>
      <c r="C166" s="116">
        <v>101</v>
      </c>
      <c r="D166" s="118">
        <f>SUM('Ene 25'!L163)-('Pago Cuota MC 2024'!F163)</f>
        <v>0.68026462495026863</v>
      </c>
      <c r="E166" s="108">
        <f>SUM('Pago Cuota MC 2025'!F163)</f>
        <v>0</v>
      </c>
      <c r="F166" s="119">
        <f t="shared" ref="F166:F184" si="10">SUM(-D166,E166)</f>
        <v>-0.68026462495026863</v>
      </c>
      <c r="G166" s="118">
        <f>SUM('Feb 25'!L163)</f>
        <v>389.12454797066368</v>
      </c>
      <c r="H166" s="108">
        <f>SUM('Pago Cuota MC 2025'!G163)</f>
        <v>350</v>
      </c>
      <c r="I166" s="119">
        <f>SUM(-G166,H166)+Tabla3[[#This Row],[Saldo]]</f>
        <v>-39.804812595613953</v>
      </c>
      <c r="J166" s="118">
        <f>SUM('Mar 25'!L163)</f>
        <v>391.88210393129765</v>
      </c>
      <c r="K166" s="108">
        <f>SUM('Pago Cuota MC 2025'!H163)</f>
        <v>432</v>
      </c>
      <c r="L166" s="119">
        <f>SUM(-J166,K166)+Tabla3[[#This Row],[Saldo4]]</f>
        <v>0.31308347308839757</v>
      </c>
      <c r="M166" s="122">
        <f>SUM('Abr 25'!L163)</f>
        <v>404.26426144288769</v>
      </c>
      <c r="N166" s="108">
        <f>SUM('Pago Cuota MC 2025'!I163)</f>
        <v>400</v>
      </c>
      <c r="O166" s="119">
        <f>SUM(-M166,N166)+Tabla3[[#This Row],[Saldo7]]</f>
        <v>-3.9511779697992893</v>
      </c>
      <c r="P166" s="122">
        <f>SUM('May 25'!L163)</f>
        <v>393.34195960317459</v>
      </c>
      <c r="Q166" s="108">
        <f>SUM('Pago Cuota MC 2025'!J163)</f>
        <v>380</v>
      </c>
      <c r="R166" s="119">
        <f>SUM(-P166,Q166)+Tabla3[[#This Row],[Saldo13]]</f>
        <v>-17.293137572973876</v>
      </c>
      <c r="S166" s="122">
        <f>SUM('Jun 25'!L163)</f>
        <v>385.88918438721532</v>
      </c>
      <c r="T166" s="108">
        <f>SUM('Pago Cuota MC 2025'!K163)</f>
        <v>0</v>
      </c>
      <c r="U166" s="119">
        <f>SUM(-S166,T166)+Tabla3[[#This Row],[Saldo132]]</f>
        <v>-403.1823219601892</v>
      </c>
      <c r="V166" s="122">
        <f>SUM('Jul 25'!L163)</f>
        <v>397.76399654896818</v>
      </c>
      <c r="W166" s="108">
        <f>SUM('Pago Cuota MC 2025'!L163)</f>
        <v>800</v>
      </c>
      <c r="X166" s="119">
        <f>SUM(-V166,W166)+Tabla3[[#This Row],[Saldo16]]</f>
        <v>-0.94631850915737914</v>
      </c>
      <c r="Y166" s="122">
        <f>SUM('Ago 25'!L163)</f>
        <v>386.54689824251068</v>
      </c>
      <c r="Z166" s="108">
        <f>SUM('Pago Cuota MC 2025'!M163)</f>
        <v>387.49</v>
      </c>
      <c r="AA166" s="119">
        <f>SUM(-Y166,Z166)+Tabla3[[#This Row],[Saldo19]]</f>
        <v>-3.2167516680488006E-3</v>
      </c>
      <c r="AB166" s="122">
        <f>SUM('Sep 25'!L163)</f>
        <v>379.4507275709779</v>
      </c>
      <c r="AC166" s="108">
        <f>SUM('Pago Cuota MC 2025'!N163)</f>
        <v>379.45</v>
      </c>
      <c r="AD166" s="119">
        <f>SUM(-AB166,AC166)+Tabla3[[#This Row],[Saldo22]]</f>
        <v>-3.9443226459638936E-3</v>
      </c>
      <c r="AE166" s="122">
        <f>SUM('Oct 25'!L163)</f>
        <v>375.59553087430595</v>
      </c>
      <c r="AF166" s="108">
        <f>SUM('Pago Cuota MC 2025'!O163)</f>
        <v>375.6</v>
      </c>
      <c r="AG166" s="145">
        <f>SUM(-AE166,AF166)+Tabla3[[#This Row],[Saldo25]]</f>
        <v>5.2480304810842426E-4</v>
      </c>
      <c r="AH166" s="122">
        <f>SUM('Nov 25'!L163)</f>
        <v>423.96761135968598</v>
      </c>
      <c r="AI166" s="108">
        <f>SUM('Pago Cuota MC 2025'!P163)</f>
        <v>423.97</v>
      </c>
      <c r="AJ166" s="119">
        <f>SUM(-AH166,AI166)+Tabla3[[#This Row],[Saldo28]]</f>
        <v>2.9134433621607059E-3</v>
      </c>
      <c r="AK166" s="122">
        <f>SUM('Dic 25'!L163)</f>
        <v>415.27331078533473</v>
      </c>
      <c r="AL166" s="108">
        <f>SUM('Pago Cuota MC 2025'!Q163)</f>
        <v>0</v>
      </c>
      <c r="AM166" s="145">
        <f>SUM(-AK166,AL166)+Tabla3[[#This Row],[Saldo31]]</f>
        <v>-415.27039734197257</v>
      </c>
      <c r="AN166" s="128">
        <f t="shared" ref="AN166:AN185" si="11">SUM(AM166)</f>
        <v>-415.27039734197257</v>
      </c>
      <c r="AO166" s="29"/>
      <c r="AP166" s="106">
        <f>SUM(Tabla3[[#This Row],[Saldo Anual]])</f>
        <v>-415.27039734197257</v>
      </c>
    </row>
    <row r="167" spans="1:43" ht="16.149999999999999" thickBot="1" x14ac:dyDescent="0.5">
      <c r="A167" s="313"/>
      <c r="B167" s="16" t="s">
        <v>11</v>
      </c>
      <c r="C167" s="116">
        <v>102</v>
      </c>
      <c r="D167" s="118">
        <f>SUM('Ene 25'!L164)-('Pago Cuota MC 2024'!F164)</f>
        <v>200.93849819011018</v>
      </c>
      <c r="E167" s="108">
        <f>SUM('Pago Cuota MC 2025'!F164)</f>
        <v>0</v>
      </c>
      <c r="F167" s="119">
        <f t="shared" si="10"/>
        <v>-200.93849819011018</v>
      </c>
      <c r="G167" s="118">
        <f>SUM('Feb 25'!L164)</f>
        <v>434.35356121475365</v>
      </c>
      <c r="H167" s="108">
        <f>SUM('Pago Cuota MC 2025'!G164)</f>
        <v>600</v>
      </c>
      <c r="I167" s="119">
        <f>SUM(-G167,H167)+Tabla3[[#This Row],[Saldo]]</f>
        <v>-35.292059404863835</v>
      </c>
      <c r="J167" s="118">
        <f>SUM('Mar 25'!L164)</f>
        <v>438.29210316793888</v>
      </c>
      <c r="K167" s="108">
        <f>SUM('Pago Cuota MC 2025'!H164)</f>
        <v>400</v>
      </c>
      <c r="L167" s="119">
        <f>SUM(-J167,K167)+Tabla3[[#This Row],[Saldo4]]</f>
        <v>-73.584162572802711</v>
      </c>
      <c r="M167" s="122">
        <f>SUM('Abr 25'!L164)</f>
        <v>445.54986824382172</v>
      </c>
      <c r="N167" s="108">
        <f>SUM('Pago Cuota MC 2025'!I164)</f>
        <v>400</v>
      </c>
      <c r="O167" s="119">
        <f>SUM(-M167,N167)+Tabla3[[#This Row],[Saldo7]]</f>
        <v>-119.13403081662443</v>
      </c>
      <c r="P167" s="122">
        <f>SUM('May 25'!L164)</f>
        <v>436.01533222222224</v>
      </c>
      <c r="Q167" s="108">
        <f>SUM('Pago Cuota MC 2025'!J164)</f>
        <v>390</v>
      </c>
      <c r="R167" s="119">
        <f>SUM(-P167,Q167)+Tabla3[[#This Row],[Saldo13]]</f>
        <v>-165.14936303884667</v>
      </c>
      <c r="S167" s="122">
        <f>SUM('Jun 25'!L164)</f>
        <v>436.83353134794697</v>
      </c>
      <c r="T167" s="108">
        <f>SUM('Pago Cuota MC 2025'!K164)</f>
        <v>400</v>
      </c>
      <c r="U167" s="119">
        <f>SUM(-S167,T167)+Tabla3[[#This Row],[Saldo132]]</f>
        <v>-201.98289438679365</v>
      </c>
      <c r="V167" s="122">
        <f>SUM('Jul 25'!L164)</f>
        <v>412.84458244388247</v>
      </c>
      <c r="W167" s="108">
        <f>SUM('Pago Cuota MC 2025'!L164)</f>
        <v>500</v>
      </c>
      <c r="X167" s="119">
        <f>SUM(-V167,W167)+Tabla3[[#This Row],[Saldo16]]</f>
        <v>-114.82747683067612</v>
      </c>
      <c r="Y167" s="122">
        <f>SUM('Ago 25'!L164)</f>
        <v>422.85853613124107</v>
      </c>
      <c r="Z167" s="108">
        <f>SUM('Pago Cuota MC 2025'!M164)</f>
        <v>500</v>
      </c>
      <c r="AA167" s="119">
        <f>SUM(-Y167,Z167)+Tabla3[[#This Row],[Saldo19]]</f>
        <v>-37.686012961917186</v>
      </c>
      <c r="AB167" s="122">
        <f>SUM('Sep 25'!L164)</f>
        <v>433.11366258675076</v>
      </c>
      <c r="AC167" s="108">
        <f>SUM('Pago Cuota MC 2025'!N164)</f>
        <v>500</v>
      </c>
      <c r="AD167" s="119">
        <f>SUM(-AB167,AC167)+Tabla3[[#This Row],[Saldo22]]</f>
        <v>29.200324451332051</v>
      </c>
      <c r="AE167" s="122">
        <f>SUM('Oct 25'!L164)</f>
        <v>429.06301829152449</v>
      </c>
      <c r="AF167" s="108">
        <f>SUM('Pago Cuota MC 2025'!O164)</f>
        <v>500</v>
      </c>
      <c r="AG167" s="145">
        <f>SUM(-AE167,AF167)+Tabla3[[#This Row],[Saldo25]]</f>
        <v>100.13730615980757</v>
      </c>
      <c r="AH167" s="122">
        <f>SUM('Nov 25'!L164)</f>
        <v>459.11527031679282</v>
      </c>
      <c r="AI167" s="108">
        <f>SUM('Pago Cuota MC 2025'!P164)</f>
        <v>0</v>
      </c>
      <c r="AJ167" s="119">
        <f>SUM(-AH167,AI167)+Tabla3[[#This Row],[Saldo28]]</f>
        <v>-358.97796415698525</v>
      </c>
      <c r="AK167" s="122">
        <f>SUM('Dic 25'!L164)</f>
        <v>446.28922344776214</v>
      </c>
      <c r="AL167" s="108">
        <f>SUM('Pago Cuota MC 2025'!Q164)</f>
        <v>0</v>
      </c>
      <c r="AM167" s="145">
        <f>SUM(-AK167,AL167)+Tabla3[[#This Row],[Saldo31]]</f>
        <v>-805.26718760474739</v>
      </c>
      <c r="AN167" s="128">
        <f t="shared" si="11"/>
        <v>-805.26718760474739</v>
      </c>
      <c r="AO167" s="29"/>
      <c r="AP167" s="106">
        <f>SUM(Tabla3[[#This Row],[Saldo Anual]])</f>
        <v>-805.26718760474739</v>
      </c>
    </row>
    <row r="168" spans="1:43" ht="16.149999999999999" thickBot="1" x14ac:dyDescent="0.5">
      <c r="A168" s="313"/>
      <c r="B168" s="16" t="s">
        <v>11</v>
      </c>
      <c r="C168" s="116">
        <v>103</v>
      </c>
      <c r="D168" s="118">
        <f>SUM('Ene 25'!L165)-('Pago Cuota MC 2024'!F165)</f>
        <v>323.51084619325536</v>
      </c>
      <c r="E168" s="108">
        <f>SUM('Pago Cuota MC 2025'!F165)</f>
        <v>0</v>
      </c>
      <c r="F168" s="119">
        <f t="shared" si="10"/>
        <v>-323.51084619325536</v>
      </c>
      <c r="G168" s="118">
        <f>SUM('Feb 25'!L165)</f>
        <v>345.80877710766163</v>
      </c>
      <c r="H168" s="108">
        <f>SUM('Pago Cuota MC 2025'!G165)</f>
        <v>669.32</v>
      </c>
      <c r="I168" s="119">
        <f>SUM(-G168,H168)+Tabla3[[#This Row],[Saldo]]</f>
        <v>3.7669908306270372E-4</v>
      </c>
      <c r="J168" s="118">
        <f>SUM('Mar 25'!L165)</f>
        <v>348.61424553435108</v>
      </c>
      <c r="K168" s="108">
        <f>SUM('Pago Cuota MC 2025'!H165)</f>
        <v>348.61</v>
      </c>
      <c r="L168" s="119">
        <f>SUM(-J168,K168)+Tabla3[[#This Row],[Saldo4]]</f>
        <v>-3.8688352680082971E-3</v>
      </c>
      <c r="M168" s="122">
        <f>SUM('Abr 25'!L165)</f>
        <v>336.59620443763373</v>
      </c>
      <c r="N168" s="108">
        <f>SUM('Pago Cuota MC 2025'!I165)</f>
        <v>336.6</v>
      </c>
      <c r="O168" s="119">
        <f>SUM(-M168,N168)+Tabla3[[#This Row],[Saldo7]]</f>
        <v>-7.3272901715881744E-5</v>
      </c>
      <c r="P168" s="122">
        <f>SUM('May 25'!L165)</f>
        <v>370.91672984126984</v>
      </c>
      <c r="Q168" s="108">
        <f>SUM('Pago Cuota MC 2025'!J165)</f>
        <v>0</v>
      </c>
      <c r="R168" s="119">
        <f>SUM(-P168,Q168)+Tabla3[[#This Row],[Saldo13]]</f>
        <v>-370.91680311417156</v>
      </c>
      <c r="S168" s="122">
        <f>SUM('Jun 25'!L165)</f>
        <v>361.7651871306258</v>
      </c>
      <c r="T168" s="108">
        <f>SUM('Pago Cuota MC 2025'!K165)</f>
        <v>0</v>
      </c>
      <c r="U168" s="119">
        <f>SUM(-S168,T168)+Tabla3[[#This Row],[Saldo132]]</f>
        <v>-732.68199024479736</v>
      </c>
      <c r="V168" s="122">
        <f>SUM('Jul 25'!L165)</f>
        <v>357.11266415222752</v>
      </c>
      <c r="W168" s="108">
        <f>SUM('Pago Cuota MC 2025'!L165)</f>
        <v>1089.79</v>
      </c>
      <c r="X168" s="119">
        <f>SUM(-V168,W168)+Tabla3[[#This Row],[Saldo16]]</f>
        <v>-4.6543970249786071E-3</v>
      </c>
      <c r="Y168" s="122">
        <f>SUM('Ago 25'!L165)</f>
        <v>354.22921550356637</v>
      </c>
      <c r="Z168" s="108">
        <f>SUM('Pago Cuota MC 2025'!M165)</f>
        <v>0</v>
      </c>
      <c r="AA168" s="119">
        <f>SUM(-Y168,Z168)+Tabla3[[#This Row],[Saldo19]]</f>
        <v>-354.23386990059134</v>
      </c>
      <c r="AB168" s="122">
        <f>SUM('Sep 25'!L165)</f>
        <v>361.57696605678234</v>
      </c>
      <c r="AC168" s="108">
        <f>SUM('Pago Cuota MC 2025'!N165)</f>
        <v>715.81</v>
      </c>
      <c r="AD168" s="119">
        <f>SUM(-AB168,AC168)+Tabla3[[#This Row],[Saldo22]]</f>
        <v>-8.3595737373798329E-4</v>
      </c>
      <c r="AE168" s="122">
        <f>SUM('Oct 25'!L165)</f>
        <v>357.80177735233121</v>
      </c>
      <c r="AF168" s="108">
        <f>SUM('Pago Cuota MC 2025'!O165)</f>
        <v>357.8</v>
      </c>
      <c r="AG168" s="145">
        <f>SUM(-AE168,AF168)+Tabla3[[#This Row],[Saldo25]]</f>
        <v>-2.6133097049410026E-3</v>
      </c>
      <c r="AH168" s="122">
        <f>SUM('Nov 25'!L165)</f>
        <v>371.65174752453038</v>
      </c>
      <c r="AI168" s="108">
        <f>SUM('Pago Cuota MC 2025'!P165)</f>
        <v>0</v>
      </c>
      <c r="AJ168" s="119">
        <f>SUM(-AH168,AI168)+Tabla3[[#This Row],[Saldo28]]</f>
        <v>-371.65436083423532</v>
      </c>
      <c r="AK168" s="122">
        <f>SUM('Dic 25'!L165)</f>
        <v>350.57086936979698</v>
      </c>
      <c r="AL168" s="108">
        <f>SUM('Pago Cuota MC 2025'!Q165)</f>
        <v>722.23</v>
      </c>
      <c r="AM168" s="145">
        <f>SUM(-AK168,AL168)+Tabla3[[#This Row],[Saldo31]]</f>
        <v>4.7697959677179824E-3</v>
      </c>
      <c r="AN168" s="128">
        <f t="shared" si="11"/>
        <v>4.7697959677179824E-3</v>
      </c>
      <c r="AO168" s="29"/>
      <c r="AP168" s="106" t="s">
        <v>12</v>
      </c>
      <c r="AQ168" t="s">
        <v>12</v>
      </c>
    </row>
    <row r="169" spans="1:43" ht="16.149999999999999" thickBot="1" x14ac:dyDescent="0.5">
      <c r="A169" s="313"/>
      <c r="B169" s="16" t="s">
        <v>11</v>
      </c>
      <c r="C169" s="116">
        <v>104</v>
      </c>
      <c r="D169" s="118">
        <f>SUM('Ene 25'!L166)-('Pago Cuota MC 2024'!F166)</f>
        <v>173.20466823266474</v>
      </c>
      <c r="E169" s="108">
        <f>SUM('Pago Cuota MC 2025'!F166)</f>
        <v>550</v>
      </c>
      <c r="F169" s="119">
        <f t="shared" si="10"/>
        <v>376.79533176733526</v>
      </c>
      <c r="G169" s="118">
        <f>SUM('Feb 25'!L166)</f>
        <v>467.72121245371693</v>
      </c>
      <c r="H169" s="108">
        <f>SUM('Pago Cuota MC 2025'!G166)</f>
        <v>0</v>
      </c>
      <c r="I169" s="119">
        <f>SUM(-G169,H169)+Tabla3[[#This Row],[Saldo]]</f>
        <v>-90.925880686381674</v>
      </c>
      <c r="J169" s="118">
        <f>SUM('Mar 25'!L166)</f>
        <v>436.17533424754629</v>
      </c>
      <c r="K169" s="108">
        <f>SUM('Pago Cuota MC 2025'!H166)</f>
        <v>500</v>
      </c>
      <c r="L169" s="119">
        <f>SUM(-J169,K169)+Tabla3[[#This Row],[Saldo4]]</f>
        <v>-27.101214933927963</v>
      </c>
      <c r="M169" s="122">
        <f>SUM('Abr 25'!L166)</f>
        <v>466.64692536582993</v>
      </c>
      <c r="N169" s="108">
        <f>SUM('Pago Cuota MC 2025'!I166)</f>
        <v>0</v>
      </c>
      <c r="O169" s="119">
        <f>SUM(-M169,N169)+Tabla3[[#This Row],[Saldo7]]</f>
        <v>-493.74814029975789</v>
      </c>
      <c r="P169" s="122">
        <f>SUM('May 25'!L166)</f>
        <v>446.05297865079365</v>
      </c>
      <c r="Q169" s="108">
        <f>SUM('Pago Cuota MC 2025'!J166)</f>
        <v>1000</v>
      </c>
      <c r="R169" s="119">
        <f>SUM(-P169,Q169)+Tabla3[[#This Row],[Saldo13]]</f>
        <v>60.19888104944846</v>
      </c>
      <c r="S169" s="122">
        <f>SUM('Jun 25'!L166)</f>
        <v>464.52144030437512</v>
      </c>
      <c r="T169" s="108">
        <f>SUM('Pago Cuota MC 2025'!K166)</f>
        <v>500</v>
      </c>
      <c r="U169" s="119">
        <f>SUM(-S169,T169)+Tabla3[[#This Row],[Saldo132]]</f>
        <v>95.677440745073341</v>
      </c>
      <c r="V169" s="122">
        <f>SUM('Jul 25'!L166)</f>
        <v>485.15833169929135</v>
      </c>
      <c r="W169" s="108">
        <f>SUM('Pago Cuota MC 2025'!L166)</f>
        <v>500</v>
      </c>
      <c r="X169" s="119">
        <f>SUM(-V169,W169)+Tabla3[[#This Row],[Saldo16]]</f>
        <v>110.51910904578199</v>
      </c>
      <c r="Y169" s="122">
        <f>SUM('Ago 25'!L166)</f>
        <v>469.24897630242515</v>
      </c>
      <c r="Z169" s="108">
        <f>SUM('Pago Cuota MC 2025'!M166)</f>
        <v>500</v>
      </c>
      <c r="AA169" s="119">
        <f>SUM(-Y169,Z169)+Tabla3[[#This Row],[Saldo19]]</f>
        <v>141.27013274335684</v>
      </c>
      <c r="AB169" s="122">
        <f>SUM('Sep 25'!L166)</f>
        <v>428.15390738170345</v>
      </c>
      <c r="AC169" s="108">
        <f>SUM('Pago Cuota MC 2025'!N166)</f>
        <v>500</v>
      </c>
      <c r="AD169" s="119">
        <f>SUM(-AB169,AC169)+Tabla3[[#This Row],[Saldo22]]</f>
        <v>213.11622536165339</v>
      </c>
      <c r="AE169" s="122">
        <f>SUM('Oct 25'!L166)</f>
        <v>424.12546434811691</v>
      </c>
      <c r="AF169" s="108">
        <f>SUM('Pago Cuota MC 2025'!O166)</f>
        <v>0</v>
      </c>
      <c r="AG169" s="145">
        <f>SUM(-AE169,AF169)+Tabla3[[#This Row],[Saldo25]]</f>
        <v>-211.00923898646352</v>
      </c>
      <c r="AH169" s="122">
        <f>SUM('Nov 25'!L166)</f>
        <v>466.26855862629657</v>
      </c>
      <c r="AI169" s="108">
        <f>SUM('Pago Cuota MC 2025'!P166)</f>
        <v>0</v>
      </c>
      <c r="AJ169" s="119">
        <f>SUM(-AH169,AI169)+Tabla3[[#This Row],[Saldo28]]</f>
        <v>-677.27779761276008</v>
      </c>
      <c r="AK169" s="122">
        <f>SUM('Dic 25'!L166)</f>
        <v>466.07098675989926</v>
      </c>
      <c r="AL169" s="108">
        <f>SUM('Pago Cuota MC 2025'!Q166)</f>
        <v>0</v>
      </c>
      <c r="AM169" s="145">
        <f>SUM(-AK169,AL169)+Tabla3[[#This Row],[Saldo31]]</f>
        <v>-1143.3487843726593</v>
      </c>
      <c r="AN169" s="128">
        <f t="shared" si="11"/>
        <v>-1143.3487843726593</v>
      </c>
      <c r="AO169" s="29"/>
      <c r="AP169" s="106">
        <f>SUM(Tabla3[[#This Row],[Saldo Anual]])</f>
        <v>-1143.3487843726593</v>
      </c>
    </row>
    <row r="170" spans="1:43" ht="16.149999999999999" thickBot="1" x14ac:dyDescent="0.5">
      <c r="A170" s="313"/>
      <c r="B170" s="16" t="s">
        <v>11</v>
      </c>
      <c r="C170" s="116">
        <v>201</v>
      </c>
      <c r="D170" s="118">
        <f>SUM('Ene 25'!L167)-('Pago Cuota MC 2024'!F167)</f>
        <v>330.55700179674284</v>
      </c>
      <c r="E170" s="108">
        <f>SUM('Pago Cuota MC 2025'!F167)</f>
        <v>330.56</v>
      </c>
      <c r="F170" s="119">
        <f t="shared" si="10"/>
        <v>2.9982032571638229E-3</v>
      </c>
      <c r="G170" s="118">
        <f>SUM('Feb 25'!L167)</f>
        <v>364.35983036884079</v>
      </c>
      <c r="H170" s="108">
        <f>SUM('Pago Cuota MC 2025'!G167)</f>
        <v>364.36</v>
      </c>
      <c r="I170" s="119">
        <f>SUM(-G170,H170)+Tabla3[[#This Row],[Saldo]]</f>
        <v>3.1678344163879046E-3</v>
      </c>
      <c r="J170" s="118">
        <f>SUM('Mar 25'!L167)</f>
        <v>369.5734054580152</v>
      </c>
      <c r="K170" s="108">
        <f>SUM('Pago Cuota MC 2025'!H167)</f>
        <v>369.57</v>
      </c>
      <c r="L170" s="119">
        <f>SUM(-J170,K170)+Tabla3[[#This Row],[Saldo4]]</f>
        <v>-2.3762359882084638E-4</v>
      </c>
      <c r="M170" s="122">
        <f>SUM('Abr 25'!L167)</f>
        <v>391.63825837808912</v>
      </c>
      <c r="N170" s="108">
        <f>SUM('Pago Cuota MC 2025'!I167)</f>
        <v>391.64</v>
      </c>
      <c r="O170" s="119">
        <f>SUM(-M170,N170)+Tabla3[[#This Row],[Saldo7]]</f>
        <v>1.503998312045951E-3</v>
      </c>
      <c r="P170" s="122">
        <f>SUM('May 25'!L167)</f>
        <v>405.22333936507937</v>
      </c>
      <c r="Q170" s="108">
        <f>SUM('Pago Cuota MC 2025'!J167)</f>
        <v>405.22</v>
      </c>
      <c r="R170" s="119">
        <f>SUM(-P170,Q170)+Tabla3[[#This Row],[Saldo13]]</f>
        <v>-1.8353667672954543E-3</v>
      </c>
      <c r="S170" s="122">
        <f>SUM('Jun 25'!L167)</f>
        <v>406.00942841626323</v>
      </c>
      <c r="T170" s="108">
        <f>SUM('Pago Cuota MC 2025'!K167)</f>
        <v>406.01</v>
      </c>
      <c r="U170" s="119">
        <f>SUM(-S170,T170)+Tabla3[[#This Row],[Saldo132]]</f>
        <v>-1.2637830305379794E-3</v>
      </c>
      <c r="V170" s="122">
        <f>SUM('Jul 25'!L167)</f>
        <v>392.260190311261</v>
      </c>
      <c r="W170" s="108">
        <f>SUM('Pago Cuota MC 2025'!L167)</f>
        <v>392.26</v>
      </c>
      <c r="X170" s="119">
        <f>SUM(-V170,W170)+Tabla3[[#This Row],[Saldo16]]</f>
        <v>-1.4540942915459709E-3</v>
      </c>
      <c r="Y170" s="122">
        <f>SUM('Ago 25'!L167)</f>
        <v>387.45406126676176</v>
      </c>
      <c r="Z170" s="108">
        <f>SUM('Pago Cuota MC 2025'!M167)</f>
        <v>387.46</v>
      </c>
      <c r="AA170" s="119">
        <f>SUM(-Y170,Z170)+Tabla3[[#This Row],[Saldo19]]</f>
        <v>4.4846389466783876E-3</v>
      </c>
      <c r="AB170" s="122">
        <f>SUM('Sep 25'!L167)</f>
        <v>399.35965880126184</v>
      </c>
      <c r="AC170" s="108">
        <f>SUM('Pago Cuota MC 2025'!N167)</f>
        <v>399.36</v>
      </c>
      <c r="AD170" s="119">
        <f>SUM(-AB170,AC170)+Tabla3[[#This Row],[Saldo22]]</f>
        <v>4.8258376848480111E-3</v>
      </c>
      <c r="AE170" s="122">
        <f>SUM('Oct 25'!L167)</f>
        <v>395.41534411933907</v>
      </c>
      <c r="AF170" s="108">
        <f>SUM('Pago Cuota MC 2025'!O167)</f>
        <v>395.41</v>
      </c>
      <c r="AG170" s="145">
        <f>SUM(-AE170,AF170)+Tabla3[[#This Row],[Saldo25]]</f>
        <v>-5.1828165419465222E-4</v>
      </c>
      <c r="AH170" s="122">
        <f>SUM('Nov 25'!L167)</f>
        <v>402.55141245304173</v>
      </c>
      <c r="AI170" s="108">
        <f>SUM('Pago Cuota MC 2025'!P167)</f>
        <v>402.55</v>
      </c>
      <c r="AJ170" s="119">
        <f>SUM(-AH170,AI170)+Tabla3[[#This Row],[Saldo28]]</f>
        <v>-1.9307346959180904E-3</v>
      </c>
      <c r="AK170" s="122">
        <f>SUM('Dic 25'!L167)</f>
        <v>389.62344244140331</v>
      </c>
      <c r="AL170" s="108">
        <f>SUM('Pago Cuota MC 2025'!Q167)</f>
        <v>0</v>
      </c>
      <c r="AM170" s="145">
        <f>SUM(-AK170,AL170)+Tabla3[[#This Row],[Saldo31]]</f>
        <v>-389.62537317609923</v>
      </c>
      <c r="AN170" s="128">
        <f t="shared" si="11"/>
        <v>-389.62537317609923</v>
      </c>
      <c r="AO170" s="29"/>
      <c r="AP170" s="106">
        <f>SUM(Tabla3[[#This Row],[Saldo Anual]])</f>
        <v>-389.62537317609923</v>
      </c>
      <c r="AQ170" t="s">
        <v>12</v>
      </c>
    </row>
    <row r="171" spans="1:43" ht="16.149999999999999" thickBot="1" x14ac:dyDescent="0.5">
      <c r="A171" s="313"/>
      <c r="B171" s="16" t="s">
        <v>11</v>
      </c>
      <c r="C171" s="116">
        <v>202</v>
      </c>
      <c r="D171" s="118">
        <f>SUM('Ene 25'!L168)-('Pago Cuota MC 2024'!F168)</f>
        <v>105.33654138551026</v>
      </c>
      <c r="E171" s="108">
        <f>SUM('Pago Cuota MC 2025'!F168)</f>
        <v>100</v>
      </c>
      <c r="F171" s="119">
        <f t="shared" si="10"/>
        <v>-5.3365413855102588</v>
      </c>
      <c r="G171" s="118">
        <f>SUM('Feb 25'!L168)</f>
        <v>432.58213897037888</v>
      </c>
      <c r="H171" s="108">
        <f>SUM('Pago Cuota MC 2025'!G168)</f>
        <v>600</v>
      </c>
      <c r="I171" s="119">
        <f>SUM(-G171,H171)+Tabla3[[#This Row],[Saldo]]</f>
        <v>162.08131964411086</v>
      </c>
      <c r="J171" s="118">
        <f>SUM('Mar 25'!L168)</f>
        <v>466.3058479880043</v>
      </c>
      <c r="K171" s="108">
        <f>SUM('Pago Cuota MC 2025'!H168)</f>
        <v>600</v>
      </c>
      <c r="L171" s="119">
        <f>SUM(-J171,K171)+Tabla3[[#This Row],[Saldo4]]</f>
        <v>295.77547165610656</v>
      </c>
      <c r="M171" s="122">
        <f>SUM('Abr 25'!L168)</f>
        <v>440.54505300739442</v>
      </c>
      <c r="N171" s="108">
        <f>SUM('Pago Cuota MC 2025'!I168)</f>
        <v>600</v>
      </c>
      <c r="O171" s="119">
        <f>SUM(-M171,N171)+Tabla3[[#This Row],[Saldo7]]</f>
        <v>455.23041864871215</v>
      </c>
      <c r="P171" s="122">
        <f>SUM('May 25'!L168)</f>
        <v>427.10121079365081</v>
      </c>
      <c r="Q171" s="108">
        <f>SUM('Pago Cuota MC 2025'!J168)</f>
        <v>600</v>
      </c>
      <c r="R171" s="119">
        <f>SUM(-P171,Q171)+Tabla3[[#This Row],[Saldo13]]</f>
        <v>628.1292078550614</v>
      </c>
      <c r="S171" s="122">
        <f>SUM('Jun 25'!L168)</f>
        <v>420.77902357495071</v>
      </c>
      <c r="T171" s="108">
        <f>SUM('Pago Cuota MC 2025'!K168)</f>
        <v>0</v>
      </c>
      <c r="U171" s="119">
        <f>SUM(-S171,T171)+Tabla3[[#This Row],[Saldo132]]</f>
        <v>207.35018428011068</v>
      </c>
      <c r="V171" s="122">
        <f>SUM('Jul 25'!L168)</f>
        <v>421.80967870687772</v>
      </c>
      <c r="W171" s="108">
        <f>SUM('Pago Cuota MC 2025'!L168)</f>
        <v>0</v>
      </c>
      <c r="X171" s="119">
        <f>SUM(-V171,W171)+Tabla3[[#This Row],[Saldo16]]</f>
        <v>-214.45949442676704</v>
      </c>
      <c r="Y171" s="122">
        <f>SUM('Ago 25'!L168)</f>
        <v>409.15724631669048</v>
      </c>
      <c r="Z171" s="108">
        <f>SUM('Pago Cuota MC 2025'!M168)</f>
        <v>0</v>
      </c>
      <c r="AA171" s="119">
        <f>SUM(-Y171,Z171)+Tabla3[[#This Row],[Saldo19]]</f>
        <v>-623.61674074345751</v>
      </c>
      <c r="AB171" s="122">
        <f>SUM('Sep 25'!L168)</f>
        <v>442.40786321766564</v>
      </c>
      <c r="AC171" s="108">
        <f>SUM('Pago Cuota MC 2025'!N168)</f>
        <v>0</v>
      </c>
      <c r="AD171" s="119">
        <f>SUM(-AB171,AC171)+Tabla3[[#This Row],[Saldo22]]</f>
        <v>-1066.0246039611231</v>
      </c>
      <c r="AE171" s="122">
        <f>SUM('Oct 25'!L168)</f>
        <v>438.3156154619038</v>
      </c>
      <c r="AF171" s="108">
        <f>SUM('Pago Cuota MC 2025'!O168)</f>
        <v>0</v>
      </c>
      <c r="AG171" s="145">
        <f>SUM(-AE171,AF171)+Tabla3[[#This Row],[Saldo25]]</f>
        <v>-1504.3402194230271</v>
      </c>
      <c r="AH171" s="122">
        <f>SUM('Nov 25'!L168)</f>
        <v>422.68192952621246</v>
      </c>
      <c r="AI171" s="108">
        <f>SUM('Pago Cuota MC 2025'!P168)</f>
        <v>0</v>
      </c>
      <c r="AJ171" s="119">
        <f>SUM(-AH171,AI171)+Tabla3[[#This Row],[Saldo28]]</f>
        <v>-1927.0221489492396</v>
      </c>
      <c r="AK171" s="122">
        <f>SUM('Dic 25'!L168)</f>
        <v>422.33729306346572</v>
      </c>
      <c r="AL171" s="108">
        <f>SUM('Pago Cuota MC 2025'!Q168)</f>
        <v>0</v>
      </c>
      <c r="AM171" s="145">
        <f>SUM(-AK171,AL171)+Tabla3[[#This Row],[Saldo31]]</f>
        <v>-2349.3594420127056</v>
      </c>
      <c r="AN171" s="128">
        <f t="shared" si="11"/>
        <v>-2349.3594420127056</v>
      </c>
      <c r="AO171" s="29"/>
      <c r="AP171" s="106">
        <f>SUM(Tabla3[[#This Row],[Saldo Anual]])</f>
        <v>-2349.3594420127056</v>
      </c>
    </row>
    <row r="172" spans="1:43" ht="16.149999999999999" thickBot="1" x14ac:dyDescent="0.5">
      <c r="A172" s="313"/>
      <c r="B172" s="16" t="s">
        <v>11</v>
      </c>
      <c r="C172" s="116">
        <v>203</v>
      </c>
      <c r="D172" s="118">
        <f>SUM('Ene 25'!L169)-('Pago Cuota MC 2024'!F169)</f>
        <v>32.109593643817902</v>
      </c>
      <c r="E172" s="108">
        <f>SUM('Pago Cuota MC 2025'!F169)</f>
        <v>0</v>
      </c>
      <c r="F172" s="119">
        <f t="shared" si="10"/>
        <v>-32.109593643817902</v>
      </c>
      <c r="G172" s="118">
        <f>SUM('Feb 25'!L169)</f>
        <v>386.84972584021648</v>
      </c>
      <c r="H172" s="108">
        <f>SUM('Pago Cuota MC 2025'!G169)</f>
        <v>500</v>
      </c>
      <c r="I172" s="119">
        <f>SUM(-G172,H172)+Tabla3[[#This Row],[Saldo]]</f>
        <v>81.040680515965619</v>
      </c>
      <c r="J172" s="118">
        <f>SUM('Mar 25'!L169)</f>
        <v>361.23616876226822</v>
      </c>
      <c r="K172" s="108">
        <f>SUM('Pago Cuota MC 2025'!H169)</f>
        <v>70</v>
      </c>
      <c r="L172" s="119">
        <f>SUM(-J172,K172)+Tabla3[[#This Row],[Saldo4]]</f>
        <v>-210.1954882463026</v>
      </c>
      <c r="M172" s="122">
        <f>SUM('Abr 25'!L169)</f>
        <v>369.57918972660048</v>
      </c>
      <c r="N172" s="108">
        <f>SUM('Pago Cuota MC 2025'!I169)</f>
        <v>500</v>
      </c>
      <c r="O172" s="119">
        <f>SUM(-M172,N172)+Tabla3[[#This Row],[Saldo7]]</f>
        <v>-79.774677972903078</v>
      </c>
      <c r="P172" s="122">
        <f>SUM('May 25'!L169)</f>
        <v>383.47716317460316</v>
      </c>
      <c r="Q172" s="108">
        <f>SUM('Pago Cuota MC 2025'!J169)</f>
        <v>500</v>
      </c>
      <c r="R172" s="119">
        <f>SUM(-P172,Q172)+Tabla3[[#This Row],[Saldo13]]</f>
        <v>36.748158852493759</v>
      </c>
      <c r="S172" s="122">
        <f>SUM('Jun 25'!L169)</f>
        <v>417.87795590415999</v>
      </c>
      <c r="T172" s="108">
        <f>SUM('Pago Cuota MC 2025'!K169)</f>
        <v>200</v>
      </c>
      <c r="U172" s="119">
        <f>SUM(-S172,T172)+Tabla3[[#This Row],[Saldo132]]</f>
        <v>-181.12979705166623</v>
      </c>
      <c r="V172" s="122">
        <f>SUM('Jul 25'!L169)</f>
        <v>373.52608061752676</v>
      </c>
      <c r="W172" s="108">
        <f>SUM('Pago Cuota MC 2025'!L169)</f>
        <v>0</v>
      </c>
      <c r="X172" s="119">
        <f>SUM(-V172,W172)+Tabla3[[#This Row],[Saldo16]]</f>
        <v>-554.65587766919293</v>
      </c>
      <c r="Y172" s="122">
        <f>SUM('Ago 25'!L169)</f>
        <v>407.02844962624823</v>
      </c>
      <c r="Z172" s="108">
        <f>SUM('Pago Cuota MC 2025'!M169)</f>
        <v>0</v>
      </c>
      <c r="AA172" s="119">
        <f>SUM(-Y172,Z172)+Tabla3[[#This Row],[Saldo19]]</f>
        <v>-961.68432729544111</v>
      </c>
      <c r="AB172" s="122">
        <f>SUM('Sep 25'!L169)</f>
        <v>415.16999066246058</v>
      </c>
      <c r="AC172" s="108">
        <f>SUM('Pago Cuota MC 2025'!N169)</f>
        <v>0</v>
      </c>
      <c r="AD172" s="119">
        <f>SUM(-AB172,AC172)+Tabla3[[#This Row],[Saldo22]]</f>
        <v>-1376.8543179579017</v>
      </c>
      <c r="AE172" s="122">
        <f>SUM('Oct 25'!L169)</f>
        <v>411.19966729814701</v>
      </c>
      <c r="AF172" s="108">
        <f>SUM('Pago Cuota MC 2025'!O169)</f>
        <v>0</v>
      </c>
      <c r="AG172" s="145">
        <f>SUM(-AE172,AF172)+Tabla3[[#This Row],[Saldo25]]</f>
        <v>-1788.0539852560487</v>
      </c>
      <c r="AH172" s="122">
        <f>SUM('Nov 25'!L169)</f>
        <v>391.81005206616203</v>
      </c>
      <c r="AI172" s="108">
        <f>SUM('Pago Cuota MC 2025'!P169)</f>
        <v>0</v>
      </c>
      <c r="AJ172" s="119">
        <f>SUM(-AH172,AI172)+Tabla3[[#This Row],[Saldo28]]</f>
        <v>-2179.8640373222106</v>
      </c>
      <c r="AK172" s="122">
        <f>SUM('Dic 25'!L169)</f>
        <v>381.93265828326116</v>
      </c>
      <c r="AL172" s="108">
        <f>SUM('Pago Cuota MC 2025'!Q169)</f>
        <v>0</v>
      </c>
      <c r="AM172" s="145">
        <f>SUM(-AK172,AL172)+Tabla3[[#This Row],[Saldo31]]</f>
        <v>-2561.7966956054715</v>
      </c>
      <c r="AN172" s="128">
        <f t="shared" si="11"/>
        <v>-2561.7966956054715</v>
      </c>
      <c r="AO172" s="29"/>
      <c r="AP172" s="106">
        <f>SUM(Tabla3[[#This Row],[Saldo Anual]])</f>
        <v>-2561.7966956054715</v>
      </c>
    </row>
    <row r="173" spans="1:43" ht="16.149999999999999" thickBot="1" x14ac:dyDescent="0.5">
      <c r="A173" s="313"/>
      <c r="B173" s="16" t="s">
        <v>11</v>
      </c>
      <c r="C173" s="116">
        <v>204</v>
      </c>
      <c r="D173" s="118">
        <f>SUM('Ene 25'!L170)-('Pago Cuota MC 2024'!F170)</f>
        <v>334.06311241363773</v>
      </c>
      <c r="E173" s="108">
        <f>SUM('Pago Cuota MC 2025'!F170)</f>
        <v>0</v>
      </c>
      <c r="F173" s="119">
        <f t="shared" si="10"/>
        <v>-334.06311241363773</v>
      </c>
      <c r="G173" s="118">
        <f>SUM('Feb 25'!L170)</f>
        <v>379.78254412560528</v>
      </c>
      <c r="H173" s="108">
        <f>SUM('Pago Cuota MC 2025'!G170)</f>
        <v>713.85</v>
      </c>
      <c r="I173" s="119">
        <f>SUM(-G173,H173)+Tabla3[[#This Row],[Saldo]]</f>
        <v>4.3434607570134176E-3</v>
      </c>
      <c r="J173" s="118">
        <f>SUM('Mar 25'!L170)</f>
        <v>375.46730851145031</v>
      </c>
      <c r="K173" s="108">
        <f>SUM('Pago Cuota MC 2025'!H170)</f>
        <v>375.46</v>
      </c>
      <c r="L173" s="119">
        <f>SUM(-J173,K173)+Tabla3[[#This Row],[Saldo4]]</f>
        <v>-2.9650506933194265E-3</v>
      </c>
      <c r="M173" s="122">
        <f>SUM('Abr 25'!L170)</f>
        <v>369.23676050885382</v>
      </c>
      <c r="N173" s="108">
        <f>SUM('Pago Cuota MC 2025'!I170)</f>
        <v>369.24</v>
      </c>
      <c r="O173" s="119">
        <f>SUM(-M173,N173)+Tabla3[[#This Row],[Saldo7]]</f>
        <v>2.7444045286983965E-4</v>
      </c>
      <c r="P173" s="122">
        <f>SUM('May 25'!L170)</f>
        <v>388.5391988888889</v>
      </c>
      <c r="Q173" s="108">
        <f>SUM('Pago Cuota MC 2025'!J170)</f>
        <v>369.24</v>
      </c>
      <c r="R173" s="119">
        <f>SUM(-P173,Q173)+Tabla3[[#This Row],[Saldo13]]</f>
        <v>-19.298924448436026</v>
      </c>
      <c r="S173" s="122">
        <f>SUM('Jun 25'!L170)</f>
        <v>378.3742989918415</v>
      </c>
      <c r="T173" s="108">
        <f>SUM('Pago Cuota MC 2025'!K170)</f>
        <v>400</v>
      </c>
      <c r="U173" s="119">
        <f>SUM(-S173,T173)+Tabla3[[#This Row],[Saldo132]]</f>
        <v>2.3267765597224752</v>
      </c>
      <c r="V173" s="122">
        <f>SUM('Jul 25'!L170)</f>
        <v>417.21156260684961</v>
      </c>
      <c r="W173" s="108">
        <f>SUM('Pago Cuota MC 2025'!L170)</f>
        <v>414.88</v>
      </c>
      <c r="X173" s="119">
        <f>SUM(-V173,W173)+Tabla3[[#This Row],[Saldo16]]</f>
        <v>-4.7860471271405913E-3</v>
      </c>
      <c r="Y173" s="122">
        <f>SUM('Ago 25'!L170)</f>
        <v>417.94959758630529</v>
      </c>
      <c r="Z173" s="108">
        <f>SUM('Pago Cuota MC 2025'!M170)</f>
        <v>417.94</v>
      </c>
      <c r="AA173" s="119">
        <f>SUM(-Y173,Z173)+Tabla3[[#This Row],[Saldo19]]</f>
        <v>-1.4383633432430543E-2</v>
      </c>
      <c r="AB173" s="122">
        <f>SUM('Sep 25'!L170)</f>
        <v>377.17475533123024</v>
      </c>
      <c r="AC173" s="108">
        <f>SUM('Pago Cuota MC 2025'!N170)</f>
        <v>377.19</v>
      </c>
      <c r="AD173" s="119">
        <f>SUM(-AB173,AC173)+Tabla3[[#This Row],[Saldo22]]</f>
        <v>8.6103533732284632E-4</v>
      </c>
      <c r="AE173" s="122">
        <f>SUM('Oct 25'!L170)</f>
        <v>373.32974652752688</v>
      </c>
      <c r="AF173" s="108">
        <f>SUM('Pago Cuota MC 2025'!O170)</f>
        <v>0</v>
      </c>
      <c r="AG173" s="145">
        <f>SUM(-AE173,AF173)+Tabla3[[#This Row],[Saldo25]]</f>
        <v>-373.32888549218956</v>
      </c>
      <c r="AH173" s="122">
        <f>SUM('Nov 25'!L170)</f>
        <v>372.27498074572469</v>
      </c>
      <c r="AI173" s="108">
        <f>SUM('Pago Cuota MC 2025'!P170)</f>
        <v>745.6</v>
      </c>
      <c r="AJ173" s="119">
        <f>SUM(-AH173,AI173)+Tabla3[[#This Row],[Saldo28]]</f>
        <v>-3.8662379142238024E-3</v>
      </c>
      <c r="AK173" s="122">
        <f>SUM('Dic 25'!L170)</f>
        <v>385.42183207369521</v>
      </c>
      <c r="AL173" s="108">
        <f>SUM('Pago Cuota MC 2025'!Q170)</f>
        <v>0</v>
      </c>
      <c r="AM173" s="145">
        <f>SUM(-AK173,AL173)+Tabla3[[#This Row],[Saldo31]]</f>
        <v>-385.42569831160944</v>
      </c>
      <c r="AN173" s="128">
        <f t="shared" si="11"/>
        <v>-385.42569831160944</v>
      </c>
      <c r="AO173" s="29"/>
      <c r="AP173" s="106">
        <f>SUM(Tabla3[[#This Row],[Saldo Anual]])</f>
        <v>-385.42569831160944</v>
      </c>
    </row>
    <row r="174" spans="1:43" ht="16.149999999999999" thickBot="1" x14ac:dyDescent="0.5">
      <c r="A174" s="313"/>
      <c r="B174" s="16" t="s">
        <v>11</v>
      </c>
      <c r="C174" s="116">
        <v>301</v>
      </c>
      <c r="D174" s="118">
        <f>SUM('Ene 25'!L171)-('Pago Cuota MC 2024'!F171)</f>
        <v>329.36567854306327</v>
      </c>
      <c r="E174" s="108">
        <f>SUM('Pago Cuota MC 2025'!F171)</f>
        <v>329.37</v>
      </c>
      <c r="F174" s="119">
        <f t="shared" si="10"/>
        <v>4.3214569367364675E-3</v>
      </c>
      <c r="G174" s="118">
        <f>SUM('Feb 25'!L171)</f>
        <v>380.95567143976075</v>
      </c>
      <c r="H174" s="108">
        <f>SUM('Pago Cuota MC 2025'!G171)</f>
        <v>380.95</v>
      </c>
      <c r="I174" s="119">
        <f>SUM(-G174,H174)+Tabla3[[#This Row],[Saldo]]</f>
        <v>-1.3499828240242095E-3</v>
      </c>
      <c r="J174" s="118">
        <f>SUM('Mar 25'!L171)</f>
        <v>369.8212798854961</v>
      </c>
      <c r="K174" s="108">
        <f>SUM('Pago Cuota MC 2025'!H171)</f>
        <v>369.82</v>
      </c>
      <c r="L174" s="119">
        <f>SUM(-J174,K174)+Tabla3[[#This Row],[Saldo4]]</f>
        <v>-2.6298683201275708E-3</v>
      </c>
      <c r="M174" s="122">
        <f>SUM('Abr 25'!L171)</f>
        <v>373.46982627067518</v>
      </c>
      <c r="N174" s="108">
        <f>SUM('Pago Cuota MC 2025'!I171)</f>
        <v>373.47</v>
      </c>
      <c r="O174" s="119">
        <f>SUM(-M174,N174)+Tabla3[[#This Row],[Saldo7]]</f>
        <v>-2.4561389952850732E-3</v>
      </c>
      <c r="P174" s="122">
        <f>SUM('May 25'!L171)</f>
        <v>382.01205365079363</v>
      </c>
      <c r="Q174" s="108">
        <f>SUM('Pago Cuota MC 2025'!J171)</f>
        <v>382.01</v>
      </c>
      <c r="R174" s="119">
        <f>SUM(-P174,Q174)+Tabla3[[#This Row],[Saldo13]]</f>
        <v>-4.509789788926355E-3</v>
      </c>
      <c r="S174" s="122">
        <f>SUM('Jun 25'!L171)</f>
        <v>377.0749408422987</v>
      </c>
      <c r="T174" s="108">
        <f>SUM('Pago Cuota MC 2025'!K171)</f>
        <v>377.08</v>
      </c>
      <c r="U174" s="119">
        <f>SUM(-S174,T174)+Tabla3[[#This Row],[Saldo132]]</f>
        <v>5.4936791235604687E-4</v>
      </c>
      <c r="V174" s="122">
        <f>SUM('Jul 25'!L171)</f>
        <v>375.81933321657147</v>
      </c>
      <c r="W174" s="108">
        <f>SUM('Pago Cuota MC 2025'!L171)</f>
        <v>375.82</v>
      </c>
      <c r="X174" s="119">
        <f>SUM(-V174,W174)+Tabla3[[#This Row],[Saldo16]]</f>
        <v>1.2161513408841529E-3</v>
      </c>
      <c r="Y174" s="122">
        <f>SUM('Ago 25'!L171)</f>
        <v>371.40666018259628</v>
      </c>
      <c r="Z174" s="108">
        <f>SUM('Pago Cuota MC 2025'!M171)</f>
        <v>371.41</v>
      </c>
      <c r="AA174" s="119">
        <f>SUM(-Y174,Z174)+Tabla3[[#This Row],[Saldo19]]</f>
        <v>4.5559687446257158E-3</v>
      </c>
      <c r="AB174" s="122">
        <f>SUM('Sep 25'!L171)</f>
        <v>380.09545690851735</v>
      </c>
      <c r="AC174" s="108">
        <f>SUM('Pago Cuota MC 2025'!N171)</f>
        <v>380.09</v>
      </c>
      <c r="AD174" s="119">
        <f>SUM(-AB174,AC174)+Tabla3[[#This Row],[Saldo22]]</f>
        <v>-9.0093977274818826E-4</v>
      </c>
      <c r="AE174" s="122">
        <f>SUM('Oct 25'!L171)</f>
        <v>376.23737422168705</v>
      </c>
      <c r="AF174" s="108">
        <f>SUM('Pago Cuota MC 2025'!O171)</f>
        <v>376.24</v>
      </c>
      <c r="AG174" s="145">
        <f>SUM(-AE174,AF174)+Tabla3[[#This Row],[Saldo25]]</f>
        <v>1.7248385402126587E-3</v>
      </c>
      <c r="AH174" s="122">
        <f>SUM('Nov 25'!L171)</f>
        <v>368.9841505522848</v>
      </c>
      <c r="AI174" s="108">
        <f>SUM('Pago Cuota MC 2025'!P171)</f>
        <v>368.98</v>
      </c>
      <c r="AJ174" s="119">
        <f>SUM(-AH174,AI174)+Tabla3[[#This Row],[Saldo28]]</f>
        <v>-2.4257137445715671E-3</v>
      </c>
      <c r="AK174" s="122">
        <f>SUM('Dic 25'!L171)</f>
        <v>366.98426964626918</v>
      </c>
      <c r="AL174" s="108">
        <f>SUM('Pago Cuota MC 2025'!Q171)</f>
        <v>366.98</v>
      </c>
      <c r="AM174" s="145">
        <f>SUM(-AK174,AL174)+Tabla3[[#This Row],[Saldo31]]</f>
        <v>-6.6953600137367175E-3</v>
      </c>
      <c r="AN174" s="128">
        <f t="shared" si="11"/>
        <v>-6.6953600137367175E-3</v>
      </c>
      <c r="AO174" s="29"/>
      <c r="AP174" s="106">
        <f>SUM(Tabla3[[#This Row],[Saldo Anual]])</f>
        <v>-6.6953600137367175E-3</v>
      </c>
      <c r="AQ174" t="s">
        <v>12</v>
      </c>
    </row>
    <row r="175" spans="1:43" ht="16.149999999999999" thickBot="1" x14ac:dyDescent="0.5">
      <c r="A175" s="313"/>
      <c r="B175" s="16" t="s">
        <v>11</v>
      </c>
      <c r="C175" s="116">
        <v>302</v>
      </c>
      <c r="D175" s="118">
        <f>SUM('Ene 25'!L172)-('Pago Cuota MC 2024'!F172)</f>
        <v>280.67077937555985</v>
      </c>
      <c r="E175" s="108">
        <f>SUM('Pago Cuota MC 2025'!F172)</f>
        <v>0</v>
      </c>
      <c r="F175" s="119">
        <f t="shared" si="10"/>
        <v>-280.67077937555985</v>
      </c>
      <c r="G175" s="118">
        <f>SUM('Feb 25'!L172)</f>
        <v>388.38652262176021</v>
      </c>
      <c r="H175" s="108">
        <f>SUM('Pago Cuota MC 2025'!G172)</f>
        <v>0</v>
      </c>
      <c r="I175" s="119">
        <f>SUM(-G175,H175)+Tabla3[[#This Row],[Saldo]]</f>
        <v>-669.05730199732011</v>
      </c>
      <c r="J175" s="118">
        <f>SUM('Mar 25'!L172)</f>
        <v>381.45016898037073</v>
      </c>
      <c r="K175" s="108">
        <f>SUM('Pago Cuota MC 2025'!H172)</f>
        <v>0</v>
      </c>
      <c r="L175" s="119">
        <f>SUM(-J175,K175)+Tabla3[[#This Row],[Saldo4]]</f>
        <v>-1050.5074709776909</v>
      </c>
      <c r="M175" s="122">
        <f>SUM('Abr 25'!L172)</f>
        <v>371.97833362619184</v>
      </c>
      <c r="N175" s="108">
        <f>SUM('Pago Cuota MC 2025'!I172)</f>
        <v>1500</v>
      </c>
      <c r="O175" s="119">
        <f>SUM(-M175,N175)+Tabla3[[#This Row],[Saldo7]]</f>
        <v>77.514195396117202</v>
      </c>
      <c r="P175" s="122">
        <f>SUM('May 25'!L172)</f>
        <v>395.59312507936511</v>
      </c>
      <c r="Q175" s="108">
        <f>SUM('Pago Cuota MC 2025'!J172)</f>
        <v>0</v>
      </c>
      <c r="R175" s="119">
        <f>SUM(-P175,Q175)+Tabla3[[#This Row],[Saldo13]]</f>
        <v>-318.07892968324791</v>
      </c>
      <c r="S175" s="122">
        <f>SUM('Jun 25'!L172)</f>
        <v>379.02922010534337</v>
      </c>
      <c r="T175" s="108">
        <f>SUM('Pago Cuota MC 2025'!K172)</f>
        <v>0</v>
      </c>
      <c r="U175" s="119">
        <f>SUM(-S175,T175)+Tabla3[[#This Row],[Saldo132]]</f>
        <v>-697.10814978859128</v>
      </c>
      <c r="V175" s="122">
        <f>SUM('Jul 25'!L172)</f>
        <v>375.14884847366613</v>
      </c>
      <c r="W175" s="108">
        <f>SUM('Pago Cuota MC 2025'!L172)</f>
        <v>0</v>
      </c>
      <c r="X175" s="119">
        <f>SUM(-V175,W175)+Tabla3[[#This Row],[Saldo16]]</f>
        <v>-1072.2569982622574</v>
      </c>
      <c r="Y175" s="122">
        <f>SUM('Ago 25'!L172)</f>
        <v>377.94223587446504</v>
      </c>
      <c r="Z175" s="108">
        <f>SUM('Pago Cuota MC 2025'!M172)</f>
        <v>0</v>
      </c>
      <c r="AA175" s="119">
        <f>SUM(-Y175,Z175)+Tabla3[[#This Row],[Saldo19]]</f>
        <v>-1450.1992341367225</v>
      </c>
      <c r="AB175" s="122">
        <f>SUM('Sep 25'!L172)</f>
        <v>376.75422031545742</v>
      </c>
      <c r="AC175" s="108">
        <f>SUM('Pago Cuota MC 2025'!N172)</f>
        <v>0</v>
      </c>
      <c r="AD175" s="119">
        <f>SUM(-AB175,AC175)+Tabla3[[#This Row],[Saldo22]]</f>
        <v>-1826.9534544521798</v>
      </c>
      <c r="AE175" s="122">
        <f>SUM('Oct 25'!L172)</f>
        <v>372.9558567623252</v>
      </c>
      <c r="AF175" s="108">
        <f>SUM('Pago Cuota MC 2025'!O172)</f>
        <v>0</v>
      </c>
      <c r="AG175" s="145">
        <f>SUM(-AE175,AF175)+Tabla3[[#This Row],[Saldo25]]</f>
        <v>-2199.9093112145051</v>
      </c>
      <c r="AH175" s="122">
        <f>SUM('Nov 25'!L172)</f>
        <v>381.37387283992149</v>
      </c>
      <c r="AI175" s="108">
        <f>SUM('Pago Cuota MC 2025'!P172)</f>
        <v>0</v>
      </c>
      <c r="AJ175" s="119">
        <f>SUM(-AH175,AI175)+Tabla3[[#This Row],[Saldo28]]</f>
        <v>-2581.2831840544268</v>
      </c>
      <c r="AK175" s="122">
        <f>SUM('Dic 25'!L172)</f>
        <v>378.74509419700183</v>
      </c>
      <c r="AL175" s="108">
        <f>SUM('Pago Cuota MC 2025'!Q172)</f>
        <v>0</v>
      </c>
      <c r="AM175" s="145">
        <f>SUM(-AK175,AL175)+Tabla3[[#This Row],[Saldo31]]</f>
        <v>-2960.0282782514287</v>
      </c>
      <c r="AN175" s="128">
        <f t="shared" si="11"/>
        <v>-2960.0282782514287</v>
      </c>
      <c r="AO175" s="29"/>
      <c r="AP175" s="106">
        <f>SUM(Tabla3[[#This Row],[Saldo Anual]])</f>
        <v>-2960.0282782514287</v>
      </c>
    </row>
    <row r="176" spans="1:43" ht="16.149999999999999" thickBot="1" x14ac:dyDescent="0.5">
      <c r="A176" s="313"/>
      <c r="B176" s="16" t="s">
        <v>11</v>
      </c>
      <c r="C176" s="116">
        <v>303</v>
      </c>
      <c r="D176" s="118">
        <f>SUM('Ene 25'!L173)-('Pago Cuota MC 2024'!F173)</f>
        <v>329.11853549589586</v>
      </c>
      <c r="E176" s="108">
        <f>SUM('Pago Cuota MC 2025'!F173)</f>
        <v>329.12</v>
      </c>
      <c r="F176" s="119">
        <f t="shared" si="10"/>
        <v>1.4645041041490003E-3</v>
      </c>
      <c r="G176" s="118">
        <f>SUM('Feb 25'!L173)</f>
        <v>359.51090413699802</v>
      </c>
      <c r="H176" s="108">
        <f>SUM('Pago Cuota MC 2025'!G173)</f>
        <v>0</v>
      </c>
      <c r="I176" s="119">
        <f>SUM(-G176,H176)+Tabla3[[#This Row],[Saldo]]</f>
        <v>-359.50943963289387</v>
      </c>
      <c r="J176" s="118">
        <f>SUM('Mar 25'!L173)</f>
        <v>352.77696211014171</v>
      </c>
      <c r="K176" s="108">
        <f>SUM('Pago Cuota MC 2025'!H173)</f>
        <v>712.29</v>
      </c>
      <c r="L176" s="119">
        <f>SUM(-J176,K176)+Tabla3[[#This Row],[Saldo4]]</f>
        <v>3.5982569643806528E-3</v>
      </c>
      <c r="M176" s="122">
        <f>SUM('Abr 25'!L173)</f>
        <v>381.77330397061684</v>
      </c>
      <c r="N176" s="108">
        <f>SUM('Pago Cuota MC 2025'!I173)</f>
        <v>0</v>
      </c>
      <c r="O176" s="119">
        <f>SUM(-M176,N176)+Tabla3[[#This Row],[Saldo7]]</f>
        <v>-381.76970571365246</v>
      </c>
      <c r="P176" s="122">
        <f>SUM('May 25'!L173)</f>
        <v>390.35823936507938</v>
      </c>
      <c r="Q176" s="108">
        <f>SUM('Pago Cuota MC 2025'!J173)</f>
        <v>772.13</v>
      </c>
      <c r="R176" s="119">
        <f>SUM(-P176,Q176)+Tabla3[[#This Row],[Saldo13]]</f>
        <v>2.0549212681544304E-3</v>
      </c>
      <c r="S176" s="122">
        <f>SUM('Jun 25'!L173)</f>
        <v>389.82291195580063</v>
      </c>
      <c r="T176" s="108">
        <f>SUM('Pago Cuota MC 2025'!K173)</f>
        <v>389.82</v>
      </c>
      <c r="U176" s="119">
        <f>SUM(-S176,T176)+Tabla3[[#This Row],[Saldo132]]</f>
        <v>-8.570345324869777E-4</v>
      </c>
      <c r="V176" s="122">
        <f>SUM('Jul 25'!L173)</f>
        <v>381.10361441915643</v>
      </c>
      <c r="W176" s="108">
        <f>SUM('Pago Cuota MC 2025'!L173)</f>
        <v>381.1</v>
      </c>
      <c r="X176" s="119">
        <f>SUM(-V176,W176)+Tabla3[[#This Row],[Saldo16]]</f>
        <v>-4.4714536888932344E-3</v>
      </c>
      <c r="Y176" s="122">
        <f>SUM('Ago 25'!L173)</f>
        <v>378.34723935520685</v>
      </c>
      <c r="Z176" s="108">
        <f>SUM('Pago Cuota MC 2025'!M173)</f>
        <v>378.35</v>
      </c>
      <c r="AA176" s="119">
        <f>SUM(-Y176,Z176)+Tabla3[[#This Row],[Saldo19]]</f>
        <v>-1.7108088957229484E-3</v>
      </c>
      <c r="AB176" s="122">
        <f>SUM('Sep 25'!L173)</f>
        <v>383.5132991798107</v>
      </c>
      <c r="AC176" s="108">
        <f>SUM('Pago Cuota MC 2025'!N173)</f>
        <v>383.52</v>
      </c>
      <c r="AD176" s="119">
        <f>SUM(-AB176,AC176)+Tabla3[[#This Row],[Saldo22]]</f>
        <v>4.9900112935574725E-3</v>
      </c>
      <c r="AE176" s="122">
        <f>SUM('Oct 25'!L173)</f>
        <v>379.63991726804466</v>
      </c>
      <c r="AF176" s="108">
        <f>SUM('Pago Cuota MC 2025'!O173)</f>
        <v>379.63</v>
      </c>
      <c r="AG176" s="145">
        <f>SUM(-AE176,AF176)+Tabla3[[#This Row],[Saldo25]]</f>
        <v>-4.9272567511025045E-3</v>
      </c>
      <c r="AH176" s="122">
        <f>SUM('Nov 25'!L173)</f>
        <v>382.96521682646483</v>
      </c>
      <c r="AI176" s="108">
        <f>SUM('Pago Cuota MC 2025'!P173)</f>
        <v>385</v>
      </c>
      <c r="AJ176" s="119">
        <f>SUM(-AH176,AI176)+Tabla3[[#This Row],[Saldo28]]</f>
        <v>2.0298559167840722</v>
      </c>
      <c r="AK176" s="122">
        <f>SUM('Dic 25'!L173)</f>
        <v>384.71042751190373</v>
      </c>
      <c r="AL176" s="108">
        <f>SUM('Pago Cuota MC 2025'!Q173)</f>
        <v>382.68</v>
      </c>
      <c r="AM176" s="145">
        <f>SUM(-AK176,AL176)+Tabla3[[#This Row],[Saldo31]]</f>
        <v>-5.7159511965210186E-4</v>
      </c>
      <c r="AN176" s="128">
        <f t="shared" si="11"/>
        <v>-5.7159511965210186E-4</v>
      </c>
      <c r="AO176" s="29"/>
      <c r="AP176" s="106" t="s">
        <v>12</v>
      </c>
    </row>
    <row r="177" spans="1:43" ht="16.149999999999999" thickBot="1" x14ac:dyDescent="0.5">
      <c r="A177" s="313"/>
      <c r="B177" s="16" t="s">
        <v>11</v>
      </c>
      <c r="C177" s="116">
        <v>304</v>
      </c>
      <c r="D177" s="118">
        <f>SUM('Ene 25'!L174)-('Pago Cuota MC 2024'!F174)</f>
        <v>350.83259609057069</v>
      </c>
      <c r="E177" s="108">
        <f>SUM('Pago Cuota MC 2025'!F174)</f>
        <v>350.83</v>
      </c>
      <c r="F177" s="119">
        <f t="shared" si="10"/>
        <v>-2.5960905707052007E-3</v>
      </c>
      <c r="G177" s="118">
        <f>SUM('Feb 25'!L174)</f>
        <v>461.51432410281973</v>
      </c>
      <c r="H177" s="108">
        <f>SUM('Pago Cuota MC 2025'!G174)</f>
        <v>461.52</v>
      </c>
      <c r="I177" s="119">
        <f>SUM(-G177,H177)+Tabla3[[#This Row],[Saldo]]</f>
        <v>3.079806609548541E-3</v>
      </c>
      <c r="J177" s="118">
        <f>SUM('Mar 25'!L174)</f>
        <v>400.54197083424202</v>
      </c>
      <c r="K177" s="108">
        <f>SUM('Pago Cuota MC 2025'!H174)</f>
        <v>400.54</v>
      </c>
      <c r="L177" s="119">
        <f>SUM(-J177,K177)+Tabla3[[#This Row],[Saldo4]]</f>
        <v>1.1089723675468122E-3</v>
      </c>
      <c r="M177" s="122">
        <f>SUM('Abr 25'!L174)</f>
        <v>412.00251710546797</v>
      </c>
      <c r="N177" s="108">
        <f>SUM('Pago Cuota MC 2025'!I174)</f>
        <v>412</v>
      </c>
      <c r="O177" s="119">
        <f>SUM(-M177,N177)+Tabla3[[#This Row],[Saldo7]]</f>
        <v>-1.408133100426312E-3</v>
      </c>
      <c r="P177" s="122">
        <f>SUM('May 25'!L174)</f>
        <v>442.50132269841271</v>
      </c>
      <c r="Q177" s="108">
        <f>SUM('Pago Cuota MC 2025'!J174)</f>
        <v>442</v>
      </c>
      <c r="R177" s="119">
        <f>SUM(-P177,Q177)+Tabla3[[#This Row],[Saldo13]]</f>
        <v>-0.50273083151313358</v>
      </c>
      <c r="S177" s="122">
        <f>SUM('Jun 25'!L174)</f>
        <v>429.19584076161021</v>
      </c>
      <c r="T177" s="108">
        <f>SUM('Pago Cuota MC 2025'!K174)</f>
        <v>429.7</v>
      </c>
      <c r="U177" s="119">
        <f>SUM(-S177,T177)+Tabla3[[#This Row],[Saldo132]]</f>
        <v>1.4284068766414748E-3</v>
      </c>
      <c r="V177" s="122">
        <f>SUM('Jul 25'!L174)</f>
        <v>372.07564734975495</v>
      </c>
      <c r="W177" s="108">
        <f>SUM('Pago Cuota MC 2025'!L174)</f>
        <v>372.08</v>
      </c>
      <c r="X177" s="119">
        <f>SUM(-V177,W177)+Tabla3[[#This Row],[Saldo16]]</f>
        <v>5.7810571216805329E-3</v>
      </c>
      <c r="Y177" s="122">
        <f>SUM('Ago 25'!L174)</f>
        <v>521.67117681597722</v>
      </c>
      <c r="Z177" s="108">
        <f>SUM('Pago Cuota MC 2025'!M174)</f>
        <v>512.66999999999996</v>
      </c>
      <c r="AA177" s="119">
        <f>SUM(-Y177,Z177)+Tabla3[[#This Row],[Saldo19]]</f>
        <v>-8.9953957588555795</v>
      </c>
      <c r="AB177" s="122">
        <f>SUM('Sep 25'!L174)</f>
        <v>333.85253198738167</v>
      </c>
      <c r="AC177" s="108">
        <f>SUM('Pago Cuota MC 2025'!N174)</f>
        <v>333.85</v>
      </c>
      <c r="AD177" s="119">
        <f>SUM(-AB177,AC177)+Tabla3[[#This Row],[Saldo22]]</f>
        <v>-8.9979277462372238</v>
      </c>
      <c r="AE177" s="122">
        <f>SUM('Oct 25'!L174)</f>
        <v>330.24620847815902</v>
      </c>
      <c r="AF177" s="108">
        <f>SUM('Pago Cuota MC 2025'!O174)</f>
        <v>0</v>
      </c>
      <c r="AG177" s="145">
        <f>SUM(-AE177,AF177)+Tabla3[[#This Row],[Saldo25]]</f>
        <v>-339.24413622439624</v>
      </c>
      <c r="AH177" s="122">
        <f>SUM('Nov 25'!L174)</f>
        <v>343.63404003924865</v>
      </c>
      <c r="AI177" s="108">
        <f>SUM('Pago Cuota MC 2025'!P174)</f>
        <v>0</v>
      </c>
      <c r="AJ177" s="119">
        <f>SUM(-AH177,AI177)+Tabla3[[#This Row],[Saldo28]]</f>
        <v>-682.87817626364495</v>
      </c>
      <c r="AK177" s="122">
        <f>SUM('Dic 25'!L174)</f>
        <v>352.0929708074525</v>
      </c>
      <c r="AL177" s="108">
        <f>SUM('Pago Cuota MC 2025'!Q174)</f>
        <v>1034.97</v>
      </c>
      <c r="AM177" s="145">
        <f>SUM(-AK177,AL177)+Tabla3[[#This Row],[Saldo31]]</f>
        <v>-1.1470710974208487E-3</v>
      </c>
      <c r="AN177" s="128">
        <f t="shared" si="11"/>
        <v>-1.1470710974208487E-3</v>
      </c>
      <c r="AO177" s="29"/>
      <c r="AP177" s="106">
        <f>SUM(Tabla3[[#This Row],[Saldo Anual]])</f>
        <v>-1.1470710974208487E-3</v>
      </c>
    </row>
    <row r="178" spans="1:43" ht="16.149999999999999" thickBot="1" x14ac:dyDescent="0.5">
      <c r="A178" s="313"/>
      <c r="B178" s="16" t="s">
        <v>11</v>
      </c>
      <c r="C178" s="116">
        <v>401</v>
      </c>
      <c r="D178" s="118">
        <f>SUM('Ene 25'!L175)-('Pago Cuota MC 2024'!F175)</f>
        <v>323.62124324712664</v>
      </c>
      <c r="E178" s="108">
        <f>SUM('Pago Cuota MC 2025'!F175)</f>
        <v>323.62</v>
      </c>
      <c r="F178" s="119">
        <f t="shared" si="10"/>
        <v>-1.2432471266379252E-3</v>
      </c>
      <c r="G178" s="118">
        <f>SUM('Feb 25'!L175)</f>
        <v>354.84185742665909</v>
      </c>
      <c r="H178" s="108">
        <f>SUM('Pago Cuota MC 2025'!G175)</f>
        <v>354.84</v>
      </c>
      <c r="I178" s="119">
        <f>SUM(-G178,H178)+Tabla3[[#This Row],[Saldo]]</f>
        <v>-3.1006737857524058E-3</v>
      </c>
      <c r="J178" s="118">
        <f>SUM('Mar 25'!L175)</f>
        <v>337.8179371374045</v>
      </c>
      <c r="K178" s="108">
        <f>SUM('Pago Cuota MC 2025'!H175)</f>
        <v>0</v>
      </c>
      <c r="L178" s="119">
        <f>SUM(-J178,K178)+Tabla3[[#This Row],[Saldo4]]</f>
        <v>-337.82103781119025</v>
      </c>
      <c r="M178" s="122">
        <f>SUM('Abr 25'!L175)</f>
        <v>316.32140531329048</v>
      </c>
      <c r="N178" s="108">
        <f>SUM('Pago Cuota MC 2025'!I175)</f>
        <v>0</v>
      </c>
      <c r="O178" s="119">
        <f>SUM(-M178,N178)+Tabla3[[#This Row],[Saldo7]]</f>
        <v>-654.14244312448068</v>
      </c>
      <c r="P178" s="122">
        <f>SUM('May 25'!L175)</f>
        <v>336.26030484126983</v>
      </c>
      <c r="Q178" s="108">
        <f>SUM('Pago Cuota MC 2025'!J175)</f>
        <v>0</v>
      </c>
      <c r="R178" s="119">
        <f>SUM(-P178,Q178)+Tabla3[[#This Row],[Saldo13]]</f>
        <v>-990.40274796575045</v>
      </c>
      <c r="S178" s="122">
        <f>SUM('Jun 25'!L175)</f>
        <v>337.72706136408465</v>
      </c>
      <c r="T178" s="108">
        <f>SUM('Pago Cuota MC 2025'!K175)</f>
        <v>0</v>
      </c>
      <c r="U178" s="119">
        <f>SUM(-S178,T178)+Tabla3[[#This Row],[Saldo132]]</f>
        <v>-1328.1298093298351</v>
      </c>
      <c r="V178" s="122">
        <f>SUM('Jul 25'!L175)</f>
        <v>334.00750483781337</v>
      </c>
      <c r="W178" s="108">
        <f>SUM('Pago Cuota MC 2025'!L175)</f>
        <v>0</v>
      </c>
      <c r="X178" s="119">
        <f>SUM(-V178,W178)+Tabla3[[#This Row],[Saldo16]]</f>
        <v>-1662.1373141676486</v>
      </c>
      <c r="Y178" s="122">
        <f>SUM('Ago 25'!L175)</f>
        <v>333.15106155206848</v>
      </c>
      <c r="Z178" s="108">
        <f>SUM('Pago Cuota MC 2025'!M175)</f>
        <v>1995.29</v>
      </c>
      <c r="AA178" s="119">
        <f>SUM(-Y178,Z178)+Tabla3[[#This Row],[Saldo19]]</f>
        <v>1.6242802828401182E-3</v>
      </c>
      <c r="AB178" s="122">
        <f>SUM('Sep 25'!L175)</f>
        <v>320.83084870662458</v>
      </c>
      <c r="AC178" s="108">
        <f>SUM('Pago Cuota MC 2025'!N175)</f>
        <v>0</v>
      </c>
      <c r="AD178" s="119">
        <f>SUM(-AB178,AC178)+Tabla3[[#This Row],[Saldo22]]</f>
        <v>-320.82922442634174</v>
      </c>
      <c r="AE178" s="122">
        <f>SUM('Oct 25'!L175)</f>
        <v>317.23805110308382</v>
      </c>
      <c r="AF178" s="108">
        <f>SUM('Pago Cuota MC 2025'!O175)</f>
        <v>0</v>
      </c>
      <c r="AG178" s="145">
        <f>SUM(-AE178,AF178)+Tabla3[[#This Row],[Saldo25]]</f>
        <v>-638.06727552942561</v>
      </c>
      <c r="AH178" s="122">
        <f>SUM('Nov 25'!L175)</f>
        <v>323.571487810485</v>
      </c>
      <c r="AI178" s="108">
        <f>SUM('Pago Cuota MC 2025'!P175)</f>
        <v>0</v>
      </c>
      <c r="AJ178" s="119">
        <f>SUM(-AH178,AI178)+Tabla3[[#This Row],[Saldo28]]</f>
        <v>-961.63876333991061</v>
      </c>
      <c r="AK178" s="122">
        <f>SUM('Dic 25'!L175)</f>
        <v>330.69187777455232</v>
      </c>
      <c r="AL178" s="108">
        <f>SUM('Pago Cuota MC 2025'!Q175)</f>
        <v>1892.33</v>
      </c>
      <c r="AM178" s="145">
        <f>SUM(-AK178,AL178)+Tabla3[[#This Row],[Saldo31]]</f>
        <v>599.99935888553705</v>
      </c>
      <c r="AN178" s="128">
        <f t="shared" si="11"/>
        <v>599.99935888553705</v>
      </c>
      <c r="AO178" s="29"/>
      <c r="AP178" s="106" t="s">
        <v>12</v>
      </c>
      <c r="AQ178" t="s">
        <v>12</v>
      </c>
    </row>
    <row r="179" spans="1:43" ht="16.149999999999999" thickBot="1" x14ac:dyDescent="0.5">
      <c r="A179" s="313"/>
      <c r="B179" s="16" t="s">
        <v>11</v>
      </c>
      <c r="C179" s="116">
        <v>402</v>
      </c>
      <c r="D179" s="118">
        <f>SUM('Ene 25'!L176)-('Pago Cuota MC 2024'!F176)</f>
        <v>322.73291675809492</v>
      </c>
      <c r="E179" s="108">
        <f>SUM('Pago Cuota MC 2025'!F176)</f>
        <v>322.73</v>
      </c>
      <c r="F179" s="119">
        <f t="shared" si="10"/>
        <v>-2.9167580948978866E-3</v>
      </c>
      <c r="G179" s="118">
        <f>SUM('Feb 25'!L176)</f>
        <v>360.39074962261463</v>
      </c>
      <c r="H179" s="108">
        <f>SUM('Pago Cuota MC 2025'!G176)</f>
        <v>0</v>
      </c>
      <c r="I179" s="119">
        <f>SUM(-G179,H179)+Tabla3[[#This Row],[Saldo]]</f>
        <v>-360.39366638070953</v>
      </c>
      <c r="J179" s="118">
        <f>SUM('Mar 25'!L176)</f>
        <v>359.10759629770985</v>
      </c>
      <c r="K179" s="108">
        <f>SUM('Pago Cuota MC 2025'!H176)</f>
        <v>719.5</v>
      </c>
      <c r="L179" s="119">
        <f>SUM(-J179,K179)+Tabla3[[#This Row],[Saldo4]]</f>
        <v>-1.2626784193798812E-3</v>
      </c>
      <c r="M179" s="122">
        <f>SUM('Abr 25'!L176)</f>
        <v>352.27603304242069</v>
      </c>
      <c r="N179" s="108">
        <f>SUM('Pago Cuota MC 2025'!I176)</f>
        <v>352.28</v>
      </c>
      <c r="O179" s="119">
        <f>SUM(-M179,N179)+Tabla3[[#This Row],[Saldo7]]</f>
        <v>2.7042791599001248E-3</v>
      </c>
      <c r="P179" s="122">
        <f>SUM('May 25'!L176)</f>
        <v>369.33638698412699</v>
      </c>
      <c r="Q179" s="108">
        <f>SUM('Pago Cuota MC 2025'!J176)</f>
        <v>369.33</v>
      </c>
      <c r="R179" s="119">
        <f>SUM(-P179,Q179)+Tabla3[[#This Row],[Saldo13]]</f>
        <v>-3.6827049671046552E-3</v>
      </c>
      <c r="S179" s="122">
        <f>SUM('Jun 25'!L176)</f>
        <v>359.67225684552625</v>
      </c>
      <c r="T179" s="108">
        <f>SUM('Pago Cuota MC 2025'!K176)</f>
        <v>359.68</v>
      </c>
      <c r="U179" s="119">
        <f>SUM(-S179,T179)+Tabla3[[#This Row],[Saldo132]]</f>
        <v>4.0604495066531854E-3</v>
      </c>
      <c r="V179" s="122">
        <f>SUM('Jul 25'!L176)</f>
        <v>356.47760958633825</v>
      </c>
      <c r="W179" s="108">
        <f>SUM('Pago Cuota MC 2025'!L176)</f>
        <v>356.47</v>
      </c>
      <c r="X179" s="119">
        <f>SUM(-V179,W179)+Tabla3[[#This Row],[Saldo16]]</f>
        <v>-3.549136831566102E-3</v>
      </c>
      <c r="Y179" s="122">
        <f>SUM('Ago 25'!L176)</f>
        <v>361.4943400684736</v>
      </c>
      <c r="Z179" s="108">
        <f>SUM('Pago Cuota MC 2025'!M176)</f>
        <v>361.5</v>
      </c>
      <c r="AA179" s="119">
        <f>SUM(-Y179,Z179)+Tabla3[[#This Row],[Saldo19]]</f>
        <v>2.1107946948291101E-3</v>
      </c>
      <c r="AB179" s="122">
        <f>SUM('Sep 25'!L176)</f>
        <v>358.05814208201889</v>
      </c>
      <c r="AC179" s="108">
        <f>SUM('Pago Cuota MC 2025'!N176)</f>
        <v>358.06</v>
      </c>
      <c r="AD179" s="119">
        <f>SUM(-AB179,AC179)+Tabla3[[#This Row],[Saldo22]]</f>
        <v>3.9687126759417879E-3</v>
      </c>
      <c r="AE179" s="122">
        <f>SUM('Oct 25'!L176)</f>
        <v>354.29870462505852</v>
      </c>
      <c r="AF179" s="108">
        <f>SUM('Pago Cuota MC 2025'!O176)</f>
        <v>354.29</v>
      </c>
      <c r="AG179" s="145">
        <f>SUM(-AE179,AF179)+Tabla3[[#This Row],[Saldo25]]</f>
        <v>-4.7359123825572169E-3</v>
      </c>
      <c r="AH179" s="122">
        <f>SUM('Nov 25'!L176)</f>
        <v>352.09730900476586</v>
      </c>
      <c r="AI179" s="108">
        <f>SUM('Pago Cuota MC 2025'!P176)</f>
        <v>352.1</v>
      </c>
      <c r="AJ179" s="119">
        <f>SUM(-AH179,AI179)+Tabla3[[#This Row],[Saldo28]]</f>
        <v>-2.0449171483960527E-3</v>
      </c>
      <c r="AK179" s="122">
        <f>SUM('Dic 25'!L176)</f>
        <v>356.09309815055451</v>
      </c>
      <c r="AL179" s="108">
        <f>SUM('Pago Cuota MC 2025'!Q176)</f>
        <v>0</v>
      </c>
      <c r="AM179" s="145">
        <f>SUM(-AK179,AL179)+Tabla3[[#This Row],[Saldo31]]</f>
        <v>-356.09514306770291</v>
      </c>
      <c r="AN179" s="128">
        <f t="shared" si="11"/>
        <v>-356.09514306770291</v>
      </c>
      <c r="AO179" s="29"/>
      <c r="AP179" s="106">
        <f>SUM(Tabla3[[#This Row],[Saldo Anual]])</f>
        <v>-356.09514306770291</v>
      </c>
    </row>
    <row r="180" spans="1:43" ht="16.149999999999999" thickBot="1" x14ac:dyDescent="0.5">
      <c r="A180" s="313"/>
      <c r="B180" s="16" t="s">
        <v>11</v>
      </c>
      <c r="C180" s="116">
        <v>403</v>
      </c>
      <c r="D180" s="118">
        <f>SUM('Ene 25'!L177)-('Pago Cuota MC 2024'!F177)</f>
        <v>335.99844925546961</v>
      </c>
      <c r="E180" s="108">
        <f>SUM('Pago Cuota MC 2025'!F177)</f>
        <v>337</v>
      </c>
      <c r="F180" s="119">
        <f t="shared" si="10"/>
        <v>1.0015507445303911</v>
      </c>
      <c r="G180" s="118">
        <f>SUM('Feb 25'!L177)</f>
        <v>388.54580516234694</v>
      </c>
      <c r="H180" s="108">
        <f>SUM('Pago Cuota MC 2025'!G177)</f>
        <v>388</v>
      </c>
      <c r="I180" s="119">
        <f>SUM(-G180,H180)+Tabla3[[#This Row],[Saldo]]</f>
        <v>0.45574558218345373</v>
      </c>
      <c r="J180" s="118">
        <f>SUM('Mar 25'!L177)</f>
        <v>391.84669329880035</v>
      </c>
      <c r="K180" s="108">
        <f>SUM('Pago Cuota MC 2025'!H177)</f>
        <v>392</v>
      </c>
      <c r="L180" s="119">
        <f>SUM(-J180,K180)+Tabla3[[#This Row],[Saldo4]]</f>
        <v>0.60905228338310735</v>
      </c>
      <c r="M180" s="122">
        <f>SUM('Abr 25'!L177)</f>
        <v>387.87282235940842</v>
      </c>
      <c r="N180" s="108">
        <f>SUM('Pago Cuota MC 2025'!I177)</f>
        <v>388</v>
      </c>
      <c r="O180" s="119">
        <f>SUM(-M180,N180)+Tabla3[[#This Row],[Saldo7]]</f>
        <v>0.73622992397469034</v>
      </c>
      <c r="P180" s="122">
        <f>SUM('May 25'!L177)</f>
        <v>402.88986436507935</v>
      </c>
      <c r="Q180" s="108">
        <f>SUM('Pago Cuota MC 2025'!J177)</f>
        <v>403</v>
      </c>
      <c r="R180" s="119">
        <f>SUM(-P180,Q180)+Tabla3[[#This Row],[Saldo13]]</f>
        <v>0.84636555889534293</v>
      </c>
      <c r="S180" s="122">
        <f>SUM('Jun 25'!L177)</f>
        <v>392.56424073471402</v>
      </c>
      <c r="T180" s="108">
        <f>SUM('Pago Cuota MC 2025'!K177)</f>
        <v>392</v>
      </c>
      <c r="U180" s="119">
        <f>SUM(-S180,T180)+Tabla3[[#This Row],[Saldo132]]</f>
        <v>0.28212482418132367</v>
      </c>
      <c r="V180" s="122">
        <f>SUM('Jul 25'!L177)</f>
        <v>387.53256187630734</v>
      </c>
      <c r="W180" s="108">
        <f>SUM('Pago Cuota MC 2025'!L177)</f>
        <v>388</v>
      </c>
      <c r="X180" s="119">
        <f>SUM(-V180,W180)+Tabla3[[#This Row],[Saldo16]]</f>
        <v>0.74956294787398292</v>
      </c>
      <c r="Y180" s="122">
        <f>SUM('Ago 25'!L177)</f>
        <v>388.35340392011415</v>
      </c>
      <c r="Z180" s="108">
        <f>SUM('Pago Cuota MC 2025'!M177)</f>
        <v>387.6</v>
      </c>
      <c r="AA180" s="119">
        <f>SUM(-Y180,Z180)+Tabla3[[#This Row],[Saldo19]]</f>
        <v>-3.8409722401411273E-3</v>
      </c>
      <c r="AB180" s="122">
        <f>SUM('Sep 25'!L177)</f>
        <v>372.31209791798108</v>
      </c>
      <c r="AC180" s="108">
        <f>SUM('Pago Cuota MC 2025'!N177)</f>
        <v>373</v>
      </c>
      <c r="AD180" s="119">
        <f>SUM(-AB180,AC180)+Tabla3[[#This Row],[Saldo22]]</f>
        <v>0.68406110977878143</v>
      </c>
      <c r="AE180" s="122">
        <f>SUM('Oct 25'!L177)</f>
        <v>368.48885573884536</v>
      </c>
      <c r="AF180" s="108">
        <f>SUM('Pago Cuota MC 2025'!O177)</f>
        <v>368</v>
      </c>
      <c r="AG180" s="145">
        <f>SUM(-AE180,AF180)+Tabla3[[#This Row],[Saldo25]]</f>
        <v>0.19520537093342227</v>
      </c>
      <c r="AH180" s="122">
        <f>SUM('Nov 25'!L177)</f>
        <v>378.17783297448835</v>
      </c>
      <c r="AI180" s="108">
        <f>SUM('Pago Cuota MC 2025'!P177)</f>
        <v>378</v>
      </c>
      <c r="AJ180" s="119">
        <f>SUM(-AH180,AI180)+Tabla3[[#This Row],[Saldo28]]</f>
        <v>1.7372396445068716E-2</v>
      </c>
      <c r="AK180" s="122">
        <f>SUM('Dic 25'!L177)</f>
        <v>374.32627915691342</v>
      </c>
      <c r="AL180" s="108">
        <f>SUM('Pago Cuota MC 2025'!Q177)</f>
        <v>375</v>
      </c>
      <c r="AM180" s="145">
        <f>SUM(-AK180,AL180)+Tabla3[[#This Row],[Saldo31]]</f>
        <v>0.69109323953165358</v>
      </c>
      <c r="AN180" s="128">
        <f t="shared" si="11"/>
        <v>0.69109323953165358</v>
      </c>
      <c r="AO180" s="29"/>
      <c r="AP180" s="106" t="s">
        <v>12</v>
      </c>
    </row>
    <row r="181" spans="1:43" ht="16.149999999999999" thickBot="1" x14ac:dyDescent="0.5">
      <c r="A181" s="313"/>
      <c r="B181" s="16" t="s">
        <v>11</v>
      </c>
      <c r="C181" s="116">
        <v>404</v>
      </c>
      <c r="D181" s="118">
        <f>SUM('Ene 25'!L178)-('Pago Cuota MC 2024'!F178)</f>
        <v>323.46945018579191</v>
      </c>
      <c r="E181" s="108">
        <f>SUM('Pago Cuota MC 2025'!F178)</f>
        <v>323.47000000000003</v>
      </c>
      <c r="F181" s="119">
        <f t="shared" si="10"/>
        <v>5.4981420811373027E-4</v>
      </c>
      <c r="G181" s="118">
        <f>SUM('Feb 25'!L178)</f>
        <v>328.98613142267163</v>
      </c>
      <c r="H181" s="108">
        <f>SUM('Pago Cuota MC 2025'!G178)</f>
        <v>328.99</v>
      </c>
      <c r="I181" s="119">
        <f>SUM(-G181,H181)+Tabla3[[#This Row],[Saldo]]</f>
        <v>4.4183915364897075E-3</v>
      </c>
      <c r="J181" s="118">
        <f>SUM('Mar 25'!L178)</f>
        <v>379.67176832606322</v>
      </c>
      <c r="K181" s="108">
        <f>SUM('Pago Cuota MC 2025'!H178)</f>
        <v>500</v>
      </c>
      <c r="L181" s="119">
        <f>SUM(-J181,K181)+Tabla3[[#This Row],[Saldo4]]</f>
        <v>120.33265006547327</v>
      </c>
      <c r="M181" s="122">
        <f>SUM('Abr 25'!L178)</f>
        <v>391.281276153921</v>
      </c>
      <c r="N181" s="108">
        <f>SUM('Pago Cuota MC 2025'!I178)</f>
        <v>370.95</v>
      </c>
      <c r="O181" s="119">
        <f>SUM(-M181,N181)+Tabla3[[#This Row],[Saldo7]]</f>
        <v>100.00137391155226</v>
      </c>
      <c r="P181" s="122">
        <f>SUM('May 25'!L178)</f>
        <v>376.69485841269841</v>
      </c>
      <c r="Q181" s="108">
        <f>SUM('Pago Cuota MC 2025'!J178)</f>
        <v>276.89</v>
      </c>
      <c r="R181" s="119">
        <f>SUM(-P181,Q181)+Tabla3[[#This Row],[Saldo13]]</f>
        <v>0.19651549885384156</v>
      </c>
      <c r="S181" s="122">
        <f>SUM('Jun 25'!L178)</f>
        <v>383.69849823874847</v>
      </c>
      <c r="T181" s="108">
        <f>SUM('Pago Cuota MC 2025'!K178)</f>
        <v>383.5</v>
      </c>
      <c r="U181" s="119">
        <f>SUM(-S181,T181)+Tabla3[[#This Row],[Saldo132]]</f>
        <v>-1.9827398946290486E-3</v>
      </c>
      <c r="V181" s="122">
        <f>SUM('Jul 25'!L178)</f>
        <v>380.96249118229218</v>
      </c>
      <c r="W181" s="108">
        <f>SUM('Pago Cuota MC 2025'!L178)</f>
        <v>380.96</v>
      </c>
      <c r="X181" s="119">
        <f>SUM(-V181,W181)+Tabla3[[#This Row],[Saldo16]]</f>
        <v>-4.473922186832624E-3</v>
      </c>
      <c r="Y181" s="122">
        <f>SUM('Ago 25'!L178)</f>
        <v>379.29741441940087</v>
      </c>
      <c r="Z181" s="108">
        <f>SUM('Pago Cuota MC 2025'!M178)</f>
        <v>379.3</v>
      </c>
      <c r="AA181" s="119">
        <f>SUM(-Y181,Z181)+Tabla3[[#This Row],[Saldo19]]</f>
        <v>-1.8883415876871368E-3</v>
      </c>
      <c r="AB181" s="122">
        <f>SUM('Sep 25'!L178)</f>
        <v>405.10784807570974</v>
      </c>
      <c r="AC181" s="108">
        <f>SUM('Pago Cuota MC 2025'!N178)</f>
        <v>405.11</v>
      </c>
      <c r="AD181" s="119">
        <f>SUM(-AB181,AC181)+Tabla3[[#This Row],[Saldo22]]</f>
        <v>2.6358270258697303E-4</v>
      </c>
      <c r="AE181" s="122">
        <f>SUM('Oct 25'!L178)</f>
        <v>401.13780287912232</v>
      </c>
      <c r="AF181" s="108">
        <f>SUM('Pago Cuota MC 2025'!O178)</f>
        <v>401.14</v>
      </c>
      <c r="AG181" s="145">
        <f>SUM(-AE181,AF181)+Tabla3[[#This Row],[Saldo25]]</f>
        <v>2.4607035802546307E-3</v>
      </c>
      <c r="AH181" s="122">
        <f>SUM('Nov 25'!L178)</f>
        <v>410.0659378525371</v>
      </c>
      <c r="AI181" s="108">
        <f>SUM('Pago Cuota MC 2025'!P178)</f>
        <v>0</v>
      </c>
      <c r="AJ181" s="119">
        <f>SUM(-AH181,AI181)+Tabla3[[#This Row],[Saldo28]]</f>
        <v>-410.06347714895685</v>
      </c>
      <c r="AK181" s="122">
        <f>SUM('Dic 25'!L178)</f>
        <v>387.21803033192032</v>
      </c>
      <c r="AL181" s="108">
        <f>SUM('Pago Cuota MC 2025'!Q178)</f>
        <v>0</v>
      </c>
      <c r="AM181" s="145">
        <f>SUM(-AK181,AL181)+Tabla3[[#This Row],[Saldo31]]</f>
        <v>-797.28150748087717</v>
      </c>
      <c r="AN181" s="128">
        <f t="shared" si="11"/>
        <v>-797.28150748087717</v>
      </c>
      <c r="AO181" s="29"/>
      <c r="AP181" s="106">
        <f>SUM(Tabla3[[#This Row],[Saldo Anual]])</f>
        <v>-797.28150748087717</v>
      </c>
    </row>
    <row r="182" spans="1:43" ht="16.149999999999999" thickBot="1" x14ac:dyDescent="0.5">
      <c r="A182" s="313"/>
      <c r="B182" s="16" t="s">
        <v>11</v>
      </c>
      <c r="C182" s="116">
        <v>501</v>
      </c>
      <c r="D182" s="118">
        <f>SUM('Ene 25'!L179)-('Pago Cuota MC 2024'!F179)</f>
        <v>-449.2334640096156</v>
      </c>
      <c r="E182" s="108">
        <f>SUM('Pago Cuota MC 2025'!F179)</f>
        <v>0</v>
      </c>
      <c r="F182" s="119">
        <f t="shared" si="10"/>
        <v>449.2334640096156</v>
      </c>
      <c r="G182" s="118">
        <f>SUM('Feb 25'!L179)</f>
        <v>430.58000168755342</v>
      </c>
      <c r="H182" s="108">
        <f>SUM('Pago Cuota MC 2025'!G179)</f>
        <v>0</v>
      </c>
      <c r="I182" s="119">
        <f>SUM(-G182,H182)+Tabla3[[#This Row],[Saldo]]</f>
        <v>18.653462322062182</v>
      </c>
      <c r="J182" s="118">
        <f>SUM('Mar 25'!L179)</f>
        <v>527.314807093784</v>
      </c>
      <c r="K182" s="108">
        <f>SUM('Pago Cuota MC 2025'!H179)</f>
        <v>1500</v>
      </c>
      <c r="L182" s="119">
        <f>SUM(-J182,K182)+Tabla3[[#This Row],[Saldo4]]</f>
        <v>991.33865522827818</v>
      </c>
      <c r="M182" s="122">
        <f>SUM('Abr 25'!L179)</f>
        <v>456.20861622981124</v>
      </c>
      <c r="N182" s="108">
        <f>SUM('Pago Cuota MC 2025'!I179)</f>
        <v>0</v>
      </c>
      <c r="O182" s="119">
        <f>SUM(-M182,N182)+Tabla3[[#This Row],[Saldo7]]</f>
        <v>535.13003899846694</v>
      </c>
      <c r="P182" s="122">
        <f>SUM('May 25'!L179)</f>
        <v>578.484886984127</v>
      </c>
      <c r="Q182" s="108">
        <f>SUM('Pago Cuota MC 2025'!J179)</f>
        <v>0</v>
      </c>
      <c r="R182" s="119">
        <f>SUM(-P182,Q182)+Tabla3[[#This Row],[Saldo13]]</f>
        <v>-43.354847985660058</v>
      </c>
      <c r="S182" s="122">
        <f>SUM('Jun 25'!L179)</f>
        <v>552.4297906002331</v>
      </c>
      <c r="T182" s="108">
        <f>SUM('Pago Cuota MC 2025'!K179)</f>
        <v>0</v>
      </c>
      <c r="U182" s="119">
        <f>SUM(-S182,T182)+Tabla3[[#This Row],[Saldo132]]</f>
        <v>-595.78463858589316</v>
      </c>
      <c r="V182" s="122">
        <f>SUM('Jul 25'!L179)</f>
        <v>540.11664796790615</v>
      </c>
      <c r="W182" s="108">
        <f>SUM('Pago Cuota MC 2025'!L179)</f>
        <v>0</v>
      </c>
      <c r="X182" s="119">
        <f>SUM(-V182,W182)+Tabla3[[#This Row],[Saldo16]]</f>
        <v>-1135.9012865537993</v>
      </c>
      <c r="Y182" s="122">
        <f>SUM('Ago 25'!L179)</f>
        <v>431.31235707275323</v>
      </c>
      <c r="Z182" s="108">
        <f>SUM('Pago Cuota MC 2025'!M179)</f>
        <v>0</v>
      </c>
      <c r="AA182" s="119">
        <f>SUM(-Y182,Z182)+Tabla3[[#This Row],[Saldo19]]</f>
        <v>-1567.2136436265525</v>
      </c>
      <c r="AB182" s="122">
        <f>SUM('Sep 25'!L179)</f>
        <v>432.40290675078865</v>
      </c>
      <c r="AC182" s="108">
        <f>SUM('Pago Cuota MC 2025'!N179)</f>
        <v>0</v>
      </c>
      <c r="AD182" s="119">
        <f>SUM(-AB182,AC182)+Tabla3[[#This Row],[Saldo22]]</f>
        <v>-1999.6165503773411</v>
      </c>
      <c r="AE182" s="122">
        <f>SUM('Oct 25'!L179)</f>
        <v>428.35544399892967</v>
      </c>
      <c r="AF182" s="108">
        <f>SUM('Pago Cuota MC 2025'!O179)</f>
        <v>0</v>
      </c>
      <c r="AG182" s="145">
        <f>SUM(-AE182,AF182)+Tabla3[[#This Row],[Saldo25]]</f>
        <v>-2427.9719943762707</v>
      </c>
      <c r="AH182" s="122">
        <f>SUM('Nov 25'!L179)</f>
        <v>459.32566114942529</v>
      </c>
      <c r="AI182" s="108">
        <f>SUM('Pago Cuota MC 2025'!P179)</f>
        <v>0</v>
      </c>
      <c r="AJ182" s="119">
        <f>SUM(-AH182,AI182)+Tabla3[[#This Row],[Saldo28]]</f>
        <v>-2887.297655525696</v>
      </c>
      <c r="AK182" s="122">
        <f>SUM('Dic 25'!L179)</f>
        <v>454.52343646960344</v>
      </c>
      <c r="AL182" s="108">
        <f>SUM('Pago Cuota MC 2025'!Q179)</f>
        <v>0</v>
      </c>
      <c r="AM182" s="145">
        <f>SUM(-AK182,AL182)+Tabla3[[#This Row],[Saldo31]]</f>
        <v>-3341.8210919952994</v>
      </c>
      <c r="AN182" s="128">
        <f t="shared" si="11"/>
        <v>-3341.8210919952994</v>
      </c>
      <c r="AO182" s="29"/>
      <c r="AP182" s="106">
        <f>SUM(Tabla3[[#This Row],[Saldo Anual]])</f>
        <v>-3341.8210919952994</v>
      </c>
    </row>
    <row r="183" spans="1:43" ht="16.149999999999999" thickBot="1" x14ac:dyDescent="0.5">
      <c r="A183" s="313"/>
      <c r="B183" s="16" t="s">
        <v>11</v>
      </c>
      <c r="C183" s="116">
        <v>502</v>
      </c>
      <c r="D183" s="118">
        <f>SUM('Ene 25'!L180)-('Pago Cuota MC 2024'!F180)</f>
        <v>-0.13484670026690537</v>
      </c>
      <c r="E183" s="108">
        <f>SUM('Pago Cuota MC 2025'!F180)</f>
        <v>0</v>
      </c>
      <c r="F183" s="119">
        <f t="shared" si="10"/>
        <v>0.13484670026690537</v>
      </c>
      <c r="G183" s="118">
        <f>SUM('Feb 25'!L180)</f>
        <v>389.52054569211055</v>
      </c>
      <c r="H183" s="108">
        <f>SUM('Pago Cuota MC 2025'!G180)</f>
        <v>385</v>
      </c>
      <c r="I183" s="119">
        <f>SUM(-G183,H183)+Tabla3[[#This Row],[Saldo]]</f>
        <v>-4.3856989918436398</v>
      </c>
      <c r="J183" s="118">
        <f>SUM('Mar 25'!L180)</f>
        <v>384.5363649454743</v>
      </c>
      <c r="K183" s="108">
        <f>SUM('Pago Cuota MC 2025'!H180)</f>
        <v>0</v>
      </c>
      <c r="L183" s="119">
        <f>SUM(-J183,K183)+Tabla3[[#This Row],[Saldo4]]</f>
        <v>-388.92206393731794</v>
      </c>
      <c r="M183" s="122">
        <f>SUM('Abr 25'!L180)</f>
        <v>387.36046281474995</v>
      </c>
      <c r="N183" s="108">
        <f>SUM('Pago Cuota MC 2025'!I180)</f>
        <v>760</v>
      </c>
      <c r="O183" s="119">
        <f>SUM(-M183,N183)+Tabla3[[#This Row],[Saldo7]]</f>
        <v>-16.282526752067895</v>
      </c>
      <c r="P183" s="122">
        <f>SUM('May 25'!L180)</f>
        <v>374.97047388888888</v>
      </c>
      <c r="Q183" s="108">
        <f>SUM('Pago Cuota MC 2025'!J180)</f>
        <v>0</v>
      </c>
      <c r="R183" s="119">
        <f>SUM(-P183,Q183)+Tabla3[[#This Row],[Saldo13]]</f>
        <v>-391.25300064095677</v>
      </c>
      <c r="S183" s="122">
        <f>SUM('Jun 25'!L180)</f>
        <v>400.60996147166935</v>
      </c>
      <c r="T183" s="108">
        <f>SUM('Pago Cuota MC 2025'!K180)</f>
        <v>0</v>
      </c>
      <c r="U183" s="119">
        <f>SUM(-S183,T183)+Tabla3[[#This Row],[Saldo132]]</f>
        <v>-791.86296211262606</v>
      </c>
      <c r="V183" s="122">
        <f>SUM('Jul 25'!L180)</f>
        <v>396.90549685804376</v>
      </c>
      <c r="W183" s="108">
        <f>SUM('Pago Cuota MC 2025'!L180)</f>
        <v>1188.77</v>
      </c>
      <c r="X183" s="119">
        <f>SUM(-V183,W183)+Tabla3[[#This Row],[Saldo16]]</f>
        <v>1.5410293301556521E-3</v>
      </c>
      <c r="Y183" s="122">
        <f>SUM('Ago 25'!L180)</f>
        <v>392.46300882738944</v>
      </c>
      <c r="Z183" s="108">
        <f>SUM('Pago Cuota MC 2025'!M180)</f>
        <v>392.46</v>
      </c>
      <c r="AA183" s="119">
        <f>SUM(-Y183,Z183)+Tabla3[[#This Row],[Saldo19]]</f>
        <v>-1.4677980593091888E-3</v>
      </c>
      <c r="AB183" s="122">
        <f>SUM('Sep 25'!L180)</f>
        <v>376.84462283911671</v>
      </c>
      <c r="AC183" s="108">
        <f>SUM('Pago Cuota MC 2025'!N180)</f>
        <v>376.85</v>
      </c>
      <c r="AD183" s="119">
        <f>SUM(-AB183,AC183)+Tabla3[[#This Row],[Saldo22]]</f>
        <v>3.9093628240038925E-3</v>
      </c>
      <c r="AE183" s="122">
        <f>SUM('Oct 25'!L180)</f>
        <v>373.0010918014583</v>
      </c>
      <c r="AF183" s="108">
        <f>SUM('Pago Cuota MC 2025'!O180)</f>
        <v>373</v>
      </c>
      <c r="AG183" s="145">
        <f>SUM(-AE183,AF183)+Tabla3[[#This Row],[Saldo25]]</f>
        <v>2.8175613657026588E-3</v>
      </c>
      <c r="AH183" s="122">
        <f>SUM('Nov 25'!L180)</f>
        <v>420.95465585085503</v>
      </c>
      <c r="AI183" s="108">
        <f>SUM('Pago Cuota MC 2025'!P180)</f>
        <v>420.95</v>
      </c>
      <c r="AJ183" s="119">
        <f>SUM(-AH183,AI183)+Tabla3[[#This Row],[Saldo28]]</f>
        <v>-1.8382894893420598E-3</v>
      </c>
      <c r="AK183" s="122">
        <f>SUM('Dic 25'!L180)</f>
        <v>396.70997517571345</v>
      </c>
      <c r="AL183" s="108">
        <f>SUM('Pago Cuota MC 2025'!Q180)</f>
        <v>0</v>
      </c>
      <c r="AM183" s="145">
        <f>SUM(-AK183,AL183)+Tabla3[[#This Row],[Saldo31]]</f>
        <v>-396.71181346520279</v>
      </c>
      <c r="AN183" s="128">
        <f t="shared" si="11"/>
        <v>-396.71181346520279</v>
      </c>
      <c r="AO183" s="29"/>
      <c r="AP183" s="106">
        <f>SUM(Tabla3[[#This Row],[Saldo Anual]])</f>
        <v>-396.71181346520279</v>
      </c>
    </row>
    <row r="184" spans="1:43" ht="16.149999999999999" thickBot="1" x14ac:dyDescent="0.5">
      <c r="A184" s="313"/>
      <c r="B184" s="16" t="s">
        <v>11</v>
      </c>
      <c r="C184" s="116">
        <v>503</v>
      </c>
      <c r="D184" s="118">
        <f>SUM('Ene 25'!L181)-('Pago Cuota MC 2024'!F181)</f>
        <v>323.78788820849303</v>
      </c>
      <c r="E184" s="108">
        <f>SUM('Pago Cuota MC 2025'!F181)</f>
        <v>324</v>
      </c>
      <c r="F184" s="119">
        <f t="shared" si="10"/>
        <v>0.21211179150697035</v>
      </c>
      <c r="G184" s="118">
        <f>SUM('Feb 25'!L181)</f>
        <v>384.02926500284821</v>
      </c>
      <c r="H184" s="108">
        <f>SUM('Pago Cuota MC 2025'!G181)</f>
        <v>384</v>
      </c>
      <c r="I184" s="119">
        <f>SUM(-G184,H184)+Tabla3[[#This Row],[Saldo]]</f>
        <v>0.18284678865876458</v>
      </c>
      <c r="J184" s="118">
        <f>SUM('Mar 25'!L181)</f>
        <v>406.56177835877855</v>
      </c>
      <c r="K184" s="108">
        <f>SUM('Pago Cuota MC 2025'!H181)</f>
        <v>406.38</v>
      </c>
      <c r="L184" s="119">
        <f>SUM(-J184,K184)+Tabla3[[#This Row],[Saldo4]]</f>
        <v>1.0684298802061676E-3</v>
      </c>
      <c r="M184" s="122">
        <f>SUM('Abr 25'!L181)</f>
        <v>384.50588820879545</v>
      </c>
      <c r="N184" s="108">
        <f>SUM('Pago Cuota MC 2025'!I181)</f>
        <v>385</v>
      </c>
      <c r="O184" s="119">
        <f>SUM(-M184,N184)+Tabla3[[#This Row],[Saldo7]]</f>
        <v>0.49518022108475179</v>
      </c>
      <c r="P184" s="122">
        <f>SUM('May 25'!L181)</f>
        <v>399.53986674603175</v>
      </c>
      <c r="Q184" s="108">
        <f>SUM('Pago Cuota MC 2025'!J181)</f>
        <v>399.04</v>
      </c>
      <c r="R184" s="119">
        <f>SUM(-P184,Q184)+Tabla3[[#This Row],[Saldo13]]</f>
        <v>-4.6865249469760784E-3</v>
      </c>
      <c r="S184" s="122">
        <f>SUM('Jun 25'!L181)</f>
        <v>387.20042691007711</v>
      </c>
      <c r="T184" s="108">
        <f>SUM('Pago Cuota MC 2025'!K181)</f>
        <v>387.21</v>
      </c>
      <c r="U184" s="119">
        <f>SUM(-S184,T184)+Tabla3[[#This Row],[Saldo132]]</f>
        <v>4.8865649758909058E-3</v>
      </c>
      <c r="V184" s="122">
        <f>SUM('Jul 25'!L181)</f>
        <v>383.25574378133683</v>
      </c>
      <c r="W184" s="108">
        <f>SUM('Pago Cuota MC 2025'!L181)</f>
        <v>383.25</v>
      </c>
      <c r="X184" s="119">
        <f>SUM(-V184,W184)+Tabla3[[#This Row],[Saldo16]]</f>
        <v>-8.5721636094149289E-4</v>
      </c>
      <c r="Y184" s="122">
        <f>SUM('Ago 25'!L181)</f>
        <v>365.73689128102711</v>
      </c>
      <c r="Z184" s="108">
        <f>SUM('Pago Cuota MC 2025'!M181)</f>
        <v>365.64</v>
      </c>
      <c r="AA184" s="119">
        <f>SUM(-Y184,Z184)+Tabla3[[#This Row],[Saldo19]]</f>
        <v>-9.774849738806779E-2</v>
      </c>
      <c r="AB184" s="122">
        <f>SUM('Sep 25'!L181)</f>
        <v>381.92477930599364</v>
      </c>
      <c r="AC184" s="108">
        <f>SUM('Pago Cuota MC 2025'!N181)</f>
        <v>382.02</v>
      </c>
      <c r="AD184" s="119">
        <f>SUM(-AB184,AC184)+Tabla3[[#This Row],[Saldo22]]</f>
        <v>-2.527803381724425E-3</v>
      </c>
      <c r="AE184" s="122">
        <f>SUM('Oct 25'!L181)</f>
        <v>378.05850805672617</v>
      </c>
      <c r="AF184" s="108">
        <f>SUM('Pago Cuota MC 2025'!O181)</f>
        <v>378.06</v>
      </c>
      <c r="AG184" s="145">
        <f>SUM(-AE184,AF184)+Tabla3[[#This Row],[Saldo25]]</f>
        <v>-1.0358601078905849E-3</v>
      </c>
      <c r="AH184" s="122">
        <f>SUM('Nov 25'!L181)</f>
        <v>397.28370236052706</v>
      </c>
      <c r="AI184" s="108">
        <f>SUM('Pago Cuota MC 2025'!P181)</f>
        <v>398</v>
      </c>
      <c r="AJ184" s="119">
        <f>SUM(-AH184,AI184)+Tabla3[[#This Row],[Saldo28]]</f>
        <v>0.71526177936505064</v>
      </c>
      <c r="AK184" s="122">
        <f>SUM('Dic 25'!L181)</f>
        <v>383.59812093186497</v>
      </c>
      <c r="AL184" s="108">
        <f>SUM('Pago Cuota MC 2025'!Q181)</f>
        <v>0</v>
      </c>
      <c r="AM184" s="145">
        <f>SUM(-AK184,AL184)+Tabla3[[#This Row],[Saldo31]]</f>
        <v>-382.88285915249992</v>
      </c>
      <c r="AN184" s="128">
        <f t="shared" si="11"/>
        <v>-382.88285915249992</v>
      </c>
      <c r="AO184" s="29"/>
      <c r="AP184" s="106">
        <f>SUM(Tabla3[[#This Row],[Saldo Anual]])</f>
        <v>-382.88285915249992</v>
      </c>
    </row>
    <row r="185" spans="1:43" ht="16.149999999999999" thickBot="1" x14ac:dyDescent="0.5">
      <c r="A185" s="313"/>
      <c r="B185" s="17" t="s">
        <v>11</v>
      </c>
      <c r="C185" s="117">
        <v>504</v>
      </c>
      <c r="D185" s="118">
        <f>SUM('Ene 25'!L182)-('Pago Cuota MC 2024'!F182)</f>
        <v>-60.392218661704192</v>
      </c>
      <c r="E185" s="120">
        <f>SUM('Pago Cuota MC 2025'!F182)</f>
        <v>0</v>
      </c>
      <c r="F185" s="121">
        <f>SUM(-D185,E185)</f>
        <v>60.392218661704192</v>
      </c>
      <c r="G185" s="118">
        <f>SUM('Feb 25'!L182)</f>
        <v>415.13773580888642</v>
      </c>
      <c r="H185" s="120">
        <f>SUM('Pago Cuota MC 2025'!G182)</f>
        <v>500</v>
      </c>
      <c r="I185" s="121">
        <f>SUM(-G185,H185)+Tabla3[[#This Row],[Saldo]]</f>
        <v>145.25448285281777</v>
      </c>
      <c r="J185" s="118">
        <f>SUM('Mar 25'!L182)</f>
        <v>409.54414051799341</v>
      </c>
      <c r="K185" s="120">
        <f>SUM('Pago Cuota MC 2025'!H182)</f>
        <v>0</v>
      </c>
      <c r="L185" s="121">
        <f>SUM(-J185,K185)+Tabla3[[#This Row],[Saldo4]]</f>
        <v>-264.28965766517564</v>
      </c>
      <c r="M185" s="122">
        <f>SUM('Abr 25'!L182)</f>
        <v>422.42049451352398</v>
      </c>
      <c r="N185" s="120">
        <f>SUM('Pago Cuota MC 2025'!I182)</f>
        <v>500</v>
      </c>
      <c r="O185" s="121">
        <f>SUM(-M185,N185)+Tabla3[[#This Row],[Saldo7]]</f>
        <v>-186.71015217869962</v>
      </c>
      <c r="P185" s="122">
        <f>SUM('May 25'!L182)</f>
        <v>430.85864055555555</v>
      </c>
      <c r="Q185" s="120">
        <f>SUM('Pago Cuota MC 2025'!J182)</f>
        <v>500</v>
      </c>
      <c r="R185" s="121">
        <f>SUM(-P185,Q185)+Tabla3[[#This Row],[Saldo13]]</f>
        <v>-117.56879273425517</v>
      </c>
      <c r="S185" s="122">
        <f>SUM('Jun 25'!L182)</f>
        <v>455.58311098753813</v>
      </c>
      <c r="T185" s="120">
        <f>SUM('Pago Cuota MC 2025'!K182)</f>
        <v>500</v>
      </c>
      <c r="U185" s="121">
        <f>SUM(-S185,T185)+Tabla3[[#This Row],[Saldo132]]</f>
        <v>-73.151903721793303</v>
      </c>
      <c r="V185" s="122">
        <f>SUM('Jul 25'!L182)</f>
        <v>410.10051950485467</v>
      </c>
      <c r="W185" s="108">
        <f>SUM('Pago Cuota MC 2025'!L182)</f>
        <v>500</v>
      </c>
      <c r="X185" s="119">
        <f>SUM(-V185,W185)+Tabla3[[#This Row],[Saldo16]]</f>
        <v>16.747576773352023</v>
      </c>
      <c r="Y185" s="122">
        <f>SUM('Ago 25'!L182)</f>
        <v>422.10221453352358</v>
      </c>
      <c r="Z185" s="120">
        <f>SUM('Pago Cuota MC 2025'!M182)</f>
        <v>500</v>
      </c>
      <c r="AA185" s="121">
        <f>SUM(-Y185,Z185)+Tabla3[[#This Row],[Saldo19]]</f>
        <v>94.645362239828444</v>
      </c>
      <c r="AB185" s="122">
        <f>SUM('Sep 25'!L182)</f>
        <v>405.99726384858042</v>
      </c>
      <c r="AC185" s="120">
        <f>SUM('Pago Cuota MC 2025'!N182)</f>
        <v>500</v>
      </c>
      <c r="AD185" s="121">
        <f>SUM(-AB185,AC185)+Tabla3[[#This Row],[Saldo22]]</f>
        <v>188.64809839124803</v>
      </c>
      <c r="AE185" s="122">
        <f>SUM('Oct 25'!L182)</f>
        <v>402.02323737641314</v>
      </c>
      <c r="AF185" s="108">
        <f>SUM('Pago Cuota MC 2025'!O182)</f>
        <v>0</v>
      </c>
      <c r="AG185" s="145">
        <f>SUM(-AE185,AF185)+Tabla3[[#This Row],[Saldo25]]</f>
        <v>-213.37513898516511</v>
      </c>
      <c r="AH185" s="122">
        <f>SUM('Nov 25'!L182)</f>
        <v>487.09677006447998</v>
      </c>
      <c r="AI185" s="120">
        <f>SUM('Pago Cuota MC 2025'!P182)</f>
        <v>700</v>
      </c>
      <c r="AJ185" s="121">
        <f>SUM(-AH185,AI185)+Tabla3[[#This Row],[Saldo28]]</f>
        <v>-0.47190904964509173</v>
      </c>
      <c r="AK185" s="122">
        <f>SUM('Dic 25'!L182)</f>
        <v>412.40017965456337</v>
      </c>
      <c r="AL185" s="108">
        <f>SUM('Pago Cuota MC 2025'!Q182)</f>
        <v>0</v>
      </c>
      <c r="AM185" s="272">
        <f>SUM(-AK185,AL185)+Tabla3[[#This Row],[Saldo31]]</f>
        <v>-412.87208870420847</v>
      </c>
      <c r="AN185" s="128">
        <f t="shared" si="11"/>
        <v>-412.87208870420847</v>
      </c>
      <c r="AO185" s="29"/>
      <c r="AP185" s="106">
        <f>SUM(Tabla3[[#This Row],[Saldo Anual]])</f>
        <v>-412.87208870420847</v>
      </c>
    </row>
    <row r="186" spans="1:43" x14ac:dyDescent="0.5">
      <c r="D186" s="24" t="s">
        <v>12</v>
      </c>
      <c r="E186" s="24"/>
      <c r="F186" s="23" t="s">
        <v>12</v>
      </c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70"/>
      <c r="AK186" s="24"/>
      <c r="AL186" s="24"/>
      <c r="AM186" s="270"/>
      <c r="AN186" s="26"/>
      <c r="AO186" s="29"/>
      <c r="AP186" s="162">
        <f>SUM(AP6:AP185)</f>
        <v>-64179.652845735043</v>
      </c>
    </row>
    <row r="187" spans="1:43" x14ac:dyDescent="0.5">
      <c r="AN187" s="26"/>
    </row>
    <row r="188" spans="1:43" x14ac:dyDescent="0.5">
      <c r="AN188" s="26"/>
    </row>
    <row r="189" spans="1:43" x14ac:dyDescent="0.5">
      <c r="AN189" s="26"/>
    </row>
    <row r="190" spans="1:43" x14ac:dyDescent="0.5">
      <c r="AN190" s="26"/>
    </row>
    <row r="191" spans="1:43" x14ac:dyDescent="0.5">
      <c r="AN191" s="26"/>
    </row>
    <row r="192" spans="1:43" x14ac:dyDescent="0.5">
      <c r="AN192" s="26"/>
    </row>
    <row r="193" spans="40:40" x14ac:dyDescent="0.5">
      <c r="AN193" s="26"/>
    </row>
    <row r="194" spans="40:40" x14ac:dyDescent="0.5">
      <c r="AN194" s="26"/>
    </row>
    <row r="195" spans="40:40" x14ac:dyDescent="0.5">
      <c r="AN195" s="26"/>
    </row>
    <row r="196" spans="40:40" x14ac:dyDescent="0.5">
      <c r="AN196" s="26"/>
    </row>
    <row r="197" spans="40:40" x14ac:dyDescent="0.5">
      <c r="AN197" s="26"/>
    </row>
    <row r="198" spans="40:40" x14ac:dyDescent="0.5">
      <c r="AN198" s="26"/>
    </row>
    <row r="199" spans="40:40" x14ac:dyDescent="0.5">
      <c r="AN199" s="26"/>
    </row>
    <row r="200" spans="40:40" x14ac:dyDescent="0.5">
      <c r="AN200" s="26"/>
    </row>
    <row r="201" spans="40:40" x14ac:dyDescent="0.5">
      <c r="AN201" s="26"/>
    </row>
    <row r="202" spans="40:40" x14ac:dyDescent="0.5">
      <c r="AN202" s="26"/>
    </row>
    <row r="203" spans="40:40" x14ac:dyDescent="0.5">
      <c r="AN203" s="26"/>
    </row>
    <row r="204" spans="40:40" x14ac:dyDescent="0.5">
      <c r="AN204" s="26"/>
    </row>
    <row r="205" spans="40:40" x14ac:dyDescent="0.5">
      <c r="AN205" s="26"/>
    </row>
    <row r="206" spans="40:40" x14ac:dyDescent="0.5">
      <c r="AN206" s="26"/>
    </row>
    <row r="207" spans="40:40" x14ac:dyDescent="0.5">
      <c r="AN207" s="26"/>
    </row>
    <row r="208" spans="40:40" x14ac:dyDescent="0.5">
      <c r="AN208" s="26"/>
    </row>
    <row r="209" spans="40:40" x14ac:dyDescent="0.5">
      <c r="AN209" s="26"/>
    </row>
    <row r="210" spans="40:40" x14ac:dyDescent="0.5">
      <c r="AN210" s="26"/>
    </row>
    <row r="211" spans="40:40" x14ac:dyDescent="0.5">
      <c r="AN211" s="26"/>
    </row>
    <row r="212" spans="40:40" x14ac:dyDescent="0.5">
      <c r="AN212" s="26"/>
    </row>
    <row r="213" spans="40:40" x14ac:dyDescent="0.5">
      <c r="AN213" s="26"/>
    </row>
    <row r="214" spans="40:40" x14ac:dyDescent="0.5">
      <c r="AN214" s="26"/>
    </row>
    <row r="215" spans="40:40" x14ac:dyDescent="0.5">
      <c r="AN215" s="26"/>
    </row>
    <row r="216" spans="40:40" x14ac:dyDescent="0.5">
      <c r="AN216" s="26"/>
    </row>
    <row r="217" spans="40:40" x14ac:dyDescent="0.5">
      <c r="AN217" s="26"/>
    </row>
    <row r="218" spans="40:40" x14ac:dyDescent="0.5">
      <c r="AN218" s="26"/>
    </row>
    <row r="219" spans="40:40" x14ac:dyDescent="0.5">
      <c r="AN219" s="26"/>
    </row>
    <row r="220" spans="40:40" x14ac:dyDescent="0.5">
      <c r="AN220" s="26"/>
    </row>
    <row r="221" spans="40:40" x14ac:dyDescent="0.5">
      <c r="AN221" s="26"/>
    </row>
    <row r="222" spans="40:40" x14ac:dyDescent="0.5">
      <c r="AN222" s="26"/>
    </row>
    <row r="223" spans="40:40" x14ac:dyDescent="0.5">
      <c r="AN223" s="26"/>
    </row>
    <row r="224" spans="40:40" x14ac:dyDescent="0.5">
      <c r="AN224" s="26"/>
    </row>
    <row r="225" spans="40:40" x14ac:dyDescent="0.5">
      <c r="AN225" s="26"/>
    </row>
    <row r="226" spans="40:40" x14ac:dyDescent="0.5">
      <c r="AN226" s="26"/>
    </row>
    <row r="227" spans="40:40" x14ac:dyDescent="0.5">
      <c r="AN227" s="26"/>
    </row>
    <row r="228" spans="40:40" x14ac:dyDescent="0.5">
      <c r="AN228" s="26"/>
    </row>
    <row r="229" spans="40:40" x14ac:dyDescent="0.5">
      <c r="AN229" s="26"/>
    </row>
    <row r="230" spans="40:40" x14ac:dyDescent="0.5">
      <c r="AN230" s="26"/>
    </row>
    <row r="231" spans="40:40" x14ac:dyDescent="0.5">
      <c r="AN231" s="26"/>
    </row>
    <row r="232" spans="40:40" x14ac:dyDescent="0.5">
      <c r="AN232" s="26"/>
    </row>
    <row r="233" spans="40:40" x14ac:dyDescent="0.5">
      <c r="AN233" s="26"/>
    </row>
    <row r="234" spans="40:40" x14ac:dyDescent="0.5">
      <c r="AN234" s="26"/>
    </row>
    <row r="235" spans="40:40" x14ac:dyDescent="0.5">
      <c r="AN235" s="26"/>
    </row>
    <row r="236" spans="40:40" x14ac:dyDescent="0.5">
      <c r="AN236" s="26"/>
    </row>
    <row r="237" spans="40:40" x14ac:dyDescent="0.5">
      <c r="AN237" s="26"/>
    </row>
    <row r="238" spans="40:40" x14ac:dyDescent="0.5">
      <c r="AN238" s="26"/>
    </row>
    <row r="239" spans="40:40" x14ac:dyDescent="0.5">
      <c r="AN239" s="26"/>
    </row>
    <row r="240" spans="40:40" x14ac:dyDescent="0.5">
      <c r="AN240" s="26"/>
    </row>
    <row r="241" spans="40:40" x14ac:dyDescent="0.5">
      <c r="AN241" s="26"/>
    </row>
    <row r="242" spans="40:40" x14ac:dyDescent="0.5">
      <c r="AN242" s="26"/>
    </row>
    <row r="243" spans="40:40" x14ac:dyDescent="0.5">
      <c r="AN243" s="26"/>
    </row>
    <row r="244" spans="40:40" x14ac:dyDescent="0.5">
      <c r="AN244" s="26"/>
    </row>
    <row r="245" spans="40:40" x14ac:dyDescent="0.5">
      <c r="AN245" s="26"/>
    </row>
    <row r="246" spans="40:40" x14ac:dyDescent="0.5">
      <c r="AN246" s="26"/>
    </row>
    <row r="247" spans="40:40" x14ac:dyDescent="0.5">
      <c r="AN247" s="26"/>
    </row>
    <row r="248" spans="40:40" x14ac:dyDescent="0.5">
      <c r="AN248" s="26"/>
    </row>
    <row r="249" spans="40:40" x14ac:dyDescent="0.5">
      <c r="AN249" s="26"/>
    </row>
    <row r="250" spans="40:40" x14ac:dyDescent="0.5">
      <c r="AN250" s="26"/>
    </row>
    <row r="251" spans="40:40" x14ac:dyDescent="0.5">
      <c r="AN251" s="26"/>
    </row>
    <row r="252" spans="40:40" x14ac:dyDescent="0.5">
      <c r="AN252" s="26"/>
    </row>
    <row r="253" spans="40:40" x14ac:dyDescent="0.5">
      <c r="AN253" s="26"/>
    </row>
    <row r="254" spans="40:40" x14ac:dyDescent="0.5">
      <c r="AN254" s="26"/>
    </row>
    <row r="255" spans="40:40" x14ac:dyDescent="0.5">
      <c r="AN255" s="26"/>
    </row>
    <row r="256" spans="40:40" x14ac:dyDescent="0.5">
      <c r="AN256" s="26"/>
    </row>
    <row r="257" spans="40:40" x14ac:dyDescent="0.5">
      <c r="AN257" s="26"/>
    </row>
    <row r="258" spans="40:40" x14ac:dyDescent="0.5">
      <c r="AN258" s="26"/>
    </row>
    <row r="259" spans="40:40" x14ac:dyDescent="0.5">
      <c r="AN259" s="26"/>
    </row>
    <row r="260" spans="40:40" x14ac:dyDescent="0.5">
      <c r="AN260" s="26"/>
    </row>
    <row r="261" spans="40:40" x14ac:dyDescent="0.5">
      <c r="AN261" s="26"/>
    </row>
    <row r="262" spans="40:40" x14ac:dyDescent="0.5">
      <c r="AN262" s="26"/>
    </row>
    <row r="263" spans="40:40" x14ac:dyDescent="0.5">
      <c r="AN263" s="26"/>
    </row>
    <row r="264" spans="40:40" x14ac:dyDescent="0.5">
      <c r="AN264" s="26"/>
    </row>
    <row r="265" spans="40:40" x14ac:dyDescent="0.5">
      <c r="AN265" s="26"/>
    </row>
    <row r="266" spans="40:40" x14ac:dyDescent="0.5">
      <c r="AN266" s="26"/>
    </row>
    <row r="267" spans="40:40" x14ac:dyDescent="0.5">
      <c r="AN267" s="26"/>
    </row>
    <row r="268" spans="40:40" x14ac:dyDescent="0.5">
      <c r="AN268" s="26"/>
    </row>
    <row r="269" spans="40:40" x14ac:dyDescent="0.5">
      <c r="AN269" s="26"/>
    </row>
    <row r="270" spans="40:40" x14ac:dyDescent="0.5">
      <c r="AN270" s="26"/>
    </row>
    <row r="271" spans="40:40" x14ac:dyDescent="0.5">
      <c r="AN271" s="26"/>
    </row>
    <row r="272" spans="40:40" x14ac:dyDescent="0.5">
      <c r="AN272" s="26"/>
    </row>
    <row r="273" spans="40:40" x14ac:dyDescent="0.5">
      <c r="AN273" s="26"/>
    </row>
    <row r="274" spans="40:40" x14ac:dyDescent="0.5">
      <c r="AN274" s="26"/>
    </row>
    <row r="275" spans="40:40" x14ac:dyDescent="0.5">
      <c r="AN275" s="26"/>
    </row>
    <row r="276" spans="40:40" x14ac:dyDescent="0.5">
      <c r="AN276" s="26"/>
    </row>
    <row r="277" spans="40:40" x14ac:dyDescent="0.5">
      <c r="AN277" s="26"/>
    </row>
    <row r="278" spans="40:40" x14ac:dyDescent="0.5">
      <c r="AN278" s="26"/>
    </row>
    <row r="279" spans="40:40" x14ac:dyDescent="0.5">
      <c r="AN279" s="26"/>
    </row>
    <row r="280" spans="40:40" x14ac:dyDescent="0.5">
      <c r="AN280" s="26"/>
    </row>
    <row r="281" spans="40:40" x14ac:dyDescent="0.5">
      <c r="AN281" s="26"/>
    </row>
    <row r="282" spans="40:40" x14ac:dyDescent="0.5">
      <c r="AN282" s="26"/>
    </row>
    <row r="283" spans="40:40" x14ac:dyDescent="0.5">
      <c r="AN283" s="26"/>
    </row>
    <row r="284" spans="40:40" x14ac:dyDescent="0.5">
      <c r="AN284" s="26"/>
    </row>
    <row r="285" spans="40:40" x14ac:dyDescent="0.5">
      <c r="AN285" s="26"/>
    </row>
    <row r="286" spans="40:40" x14ac:dyDescent="0.5">
      <c r="AN286" s="26"/>
    </row>
    <row r="287" spans="40:40" x14ac:dyDescent="0.5">
      <c r="AN287" s="26"/>
    </row>
    <row r="288" spans="40:40" x14ac:dyDescent="0.5">
      <c r="AN288" s="26"/>
    </row>
    <row r="289" spans="40:40" x14ac:dyDescent="0.5">
      <c r="AN289" s="26"/>
    </row>
    <row r="290" spans="40:40" x14ac:dyDescent="0.5">
      <c r="AN290" s="26"/>
    </row>
    <row r="291" spans="40:40" x14ac:dyDescent="0.5">
      <c r="AN291" s="26"/>
    </row>
    <row r="292" spans="40:40" x14ac:dyDescent="0.5">
      <c r="AN292" s="26"/>
    </row>
    <row r="293" spans="40:40" x14ac:dyDescent="0.5">
      <c r="AN293" s="26"/>
    </row>
    <row r="294" spans="40:40" x14ac:dyDescent="0.5">
      <c r="AN294" s="26"/>
    </row>
    <row r="295" spans="40:40" x14ac:dyDescent="0.5">
      <c r="AN295" s="26"/>
    </row>
    <row r="296" spans="40:40" x14ac:dyDescent="0.5">
      <c r="AN296" s="26"/>
    </row>
    <row r="297" spans="40:40" x14ac:dyDescent="0.5">
      <c r="AN297" s="26"/>
    </row>
    <row r="298" spans="40:40" x14ac:dyDescent="0.5">
      <c r="AN298" s="26"/>
    </row>
    <row r="299" spans="40:40" x14ac:dyDescent="0.5">
      <c r="AN299" s="26"/>
    </row>
    <row r="300" spans="40:40" x14ac:dyDescent="0.5">
      <c r="AN300" s="26"/>
    </row>
    <row r="301" spans="40:40" x14ac:dyDescent="0.5">
      <c r="AN301" s="26"/>
    </row>
    <row r="302" spans="40:40" x14ac:dyDescent="0.5">
      <c r="AN302" s="26"/>
    </row>
    <row r="303" spans="40:40" x14ac:dyDescent="0.5">
      <c r="AN303" s="26"/>
    </row>
    <row r="304" spans="40:40" x14ac:dyDescent="0.5">
      <c r="AN304" s="26"/>
    </row>
    <row r="305" spans="40:40" x14ac:dyDescent="0.5">
      <c r="AN305" s="26"/>
    </row>
    <row r="306" spans="40:40" x14ac:dyDescent="0.5">
      <c r="AN306" s="26"/>
    </row>
    <row r="307" spans="40:40" x14ac:dyDescent="0.5">
      <c r="AN307" s="26"/>
    </row>
    <row r="308" spans="40:40" x14ac:dyDescent="0.5">
      <c r="AN308" s="26"/>
    </row>
    <row r="309" spans="40:40" x14ac:dyDescent="0.5">
      <c r="AN309" s="26"/>
    </row>
    <row r="310" spans="40:40" x14ac:dyDescent="0.5">
      <c r="AN310" s="26"/>
    </row>
    <row r="311" spans="40:40" x14ac:dyDescent="0.5">
      <c r="AN311" s="26"/>
    </row>
    <row r="312" spans="40:40" x14ac:dyDescent="0.5">
      <c r="AN312" s="26"/>
    </row>
    <row r="313" spans="40:40" x14ac:dyDescent="0.5">
      <c r="AN313" s="26"/>
    </row>
    <row r="314" spans="40:40" x14ac:dyDescent="0.5">
      <c r="AN314" s="26"/>
    </row>
    <row r="315" spans="40:40" x14ac:dyDescent="0.5">
      <c r="AN315" s="26"/>
    </row>
    <row r="316" spans="40:40" x14ac:dyDescent="0.5">
      <c r="AN316" s="26"/>
    </row>
    <row r="317" spans="40:40" x14ac:dyDescent="0.5">
      <c r="AN317" s="26"/>
    </row>
    <row r="318" spans="40:40" x14ac:dyDescent="0.5">
      <c r="AN318" s="26"/>
    </row>
    <row r="319" spans="40:40" x14ac:dyDescent="0.5">
      <c r="AN319" s="26"/>
    </row>
    <row r="320" spans="40:40" x14ac:dyDescent="0.5">
      <c r="AN320" s="26"/>
    </row>
    <row r="321" spans="40:40" x14ac:dyDescent="0.5">
      <c r="AN321" s="26"/>
    </row>
    <row r="322" spans="40:40" x14ac:dyDescent="0.5">
      <c r="AN322" s="26"/>
    </row>
    <row r="323" spans="40:40" x14ac:dyDescent="0.5">
      <c r="AN323" s="26"/>
    </row>
    <row r="324" spans="40:40" x14ac:dyDescent="0.5">
      <c r="AN324" s="26"/>
    </row>
    <row r="325" spans="40:40" x14ac:dyDescent="0.5">
      <c r="AN325" s="26"/>
    </row>
    <row r="326" spans="40:40" x14ac:dyDescent="0.5">
      <c r="AN326" s="26"/>
    </row>
    <row r="327" spans="40:40" x14ac:dyDescent="0.5">
      <c r="AN327" s="26"/>
    </row>
    <row r="328" spans="40:40" x14ac:dyDescent="0.5">
      <c r="AN328" s="26"/>
    </row>
    <row r="329" spans="40:40" x14ac:dyDescent="0.5">
      <c r="AN329" s="26"/>
    </row>
    <row r="330" spans="40:40" x14ac:dyDescent="0.5">
      <c r="AN330" s="26"/>
    </row>
    <row r="331" spans="40:40" x14ac:dyDescent="0.5">
      <c r="AN331" s="26"/>
    </row>
    <row r="332" spans="40:40" x14ac:dyDescent="0.5">
      <c r="AN332" s="26"/>
    </row>
    <row r="333" spans="40:40" x14ac:dyDescent="0.5">
      <c r="AN333" s="26"/>
    </row>
    <row r="334" spans="40:40" x14ac:dyDescent="0.5">
      <c r="AN334" s="26"/>
    </row>
    <row r="335" spans="40:40" x14ac:dyDescent="0.5">
      <c r="AN335" s="26"/>
    </row>
    <row r="336" spans="40:40" x14ac:dyDescent="0.5">
      <c r="AN336" s="26"/>
    </row>
    <row r="337" spans="40:40" x14ac:dyDescent="0.5">
      <c r="AN337" s="26"/>
    </row>
    <row r="338" spans="40:40" x14ac:dyDescent="0.5">
      <c r="AN338" s="26"/>
    </row>
    <row r="339" spans="40:40" x14ac:dyDescent="0.5">
      <c r="AN339" s="26"/>
    </row>
    <row r="340" spans="40:40" x14ac:dyDescent="0.5">
      <c r="AN340" s="26"/>
    </row>
    <row r="341" spans="40:40" x14ac:dyDescent="0.5">
      <c r="AN341" s="26"/>
    </row>
    <row r="342" spans="40:40" x14ac:dyDescent="0.5">
      <c r="AN342" s="26"/>
    </row>
    <row r="343" spans="40:40" x14ac:dyDescent="0.5">
      <c r="AN343" s="26"/>
    </row>
    <row r="344" spans="40:40" x14ac:dyDescent="0.5">
      <c r="AN344" s="26"/>
    </row>
    <row r="345" spans="40:40" x14ac:dyDescent="0.5">
      <c r="AN345" s="26"/>
    </row>
    <row r="346" spans="40:40" x14ac:dyDescent="0.5">
      <c r="AN346" s="26"/>
    </row>
    <row r="347" spans="40:40" x14ac:dyDescent="0.5">
      <c r="AN347" s="26"/>
    </row>
    <row r="348" spans="40:40" x14ac:dyDescent="0.5">
      <c r="AN348" s="26"/>
    </row>
    <row r="349" spans="40:40" x14ac:dyDescent="0.5">
      <c r="AN349" s="26"/>
    </row>
    <row r="350" spans="40:40" x14ac:dyDescent="0.5">
      <c r="AN350" s="26"/>
    </row>
    <row r="351" spans="40:40" x14ac:dyDescent="0.5">
      <c r="AN351" s="26"/>
    </row>
    <row r="352" spans="40:40" x14ac:dyDescent="0.5">
      <c r="AN352" s="26"/>
    </row>
    <row r="353" spans="40:40" x14ac:dyDescent="0.5">
      <c r="AN353" s="26"/>
    </row>
    <row r="354" spans="40:40" x14ac:dyDescent="0.5">
      <c r="AN354" s="26"/>
    </row>
    <row r="355" spans="40:40" x14ac:dyDescent="0.5">
      <c r="AN355" s="26"/>
    </row>
    <row r="356" spans="40:40" x14ac:dyDescent="0.5">
      <c r="AN356" s="26"/>
    </row>
    <row r="357" spans="40:40" x14ac:dyDescent="0.5">
      <c r="AN357" s="26"/>
    </row>
    <row r="358" spans="40:40" x14ac:dyDescent="0.5">
      <c r="AN358" s="26"/>
    </row>
    <row r="359" spans="40:40" x14ac:dyDescent="0.5">
      <c r="AN359" s="26"/>
    </row>
    <row r="360" spans="40:40" x14ac:dyDescent="0.5">
      <c r="AN360" s="26"/>
    </row>
    <row r="361" spans="40:40" x14ac:dyDescent="0.5">
      <c r="AN361" s="26"/>
    </row>
    <row r="362" spans="40:40" x14ac:dyDescent="0.5">
      <c r="AN362" s="26"/>
    </row>
    <row r="363" spans="40:40" x14ac:dyDescent="0.5">
      <c r="AN363" s="26"/>
    </row>
    <row r="364" spans="40:40" x14ac:dyDescent="0.5">
      <c r="AN364" s="26"/>
    </row>
    <row r="365" spans="40:40" x14ac:dyDescent="0.5">
      <c r="AN365" s="26"/>
    </row>
    <row r="366" spans="40:40" x14ac:dyDescent="0.5">
      <c r="AN366" s="26"/>
    </row>
    <row r="367" spans="40:40" x14ac:dyDescent="0.5">
      <c r="AN367" s="26"/>
    </row>
    <row r="368" spans="40:40" x14ac:dyDescent="0.5">
      <c r="AN368" s="26"/>
    </row>
    <row r="369" spans="40:40" x14ac:dyDescent="0.5">
      <c r="AN369" s="26"/>
    </row>
    <row r="370" spans="40:40" x14ac:dyDescent="0.5">
      <c r="AN370" s="26"/>
    </row>
    <row r="371" spans="40:40" x14ac:dyDescent="0.5">
      <c r="AN371" s="26"/>
    </row>
    <row r="372" spans="40:40" x14ac:dyDescent="0.5">
      <c r="AN372" s="26"/>
    </row>
    <row r="373" spans="40:40" x14ac:dyDescent="0.5">
      <c r="AN373" s="26"/>
    </row>
    <row r="374" spans="40:40" x14ac:dyDescent="0.5">
      <c r="AN374" s="26"/>
    </row>
    <row r="375" spans="40:40" x14ac:dyDescent="0.5">
      <c r="AN375" s="26"/>
    </row>
    <row r="376" spans="40:40" x14ac:dyDescent="0.5">
      <c r="AN376" s="26"/>
    </row>
    <row r="377" spans="40:40" x14ac:dyDescent="0.5">
      <c r="AN377" s="26"/>
    </row>
    <row r="378" spans="40:40" x14ac:dyDescent="0.5">
      <c r="AN378" s="26"/>
    </row>
    <row r="379" spans="40:40" x14ac:dyDescent="0.5">
      <c r="AN379" s="26"/>
    </row>
    <row r="380" spans="40:40" x14ac:dyDescent="0.5">
      <c r="AN380" s="26"/>
    </row>
    <row r="381" spans="40:40" x14ac:dyDescent="0.5">
      <c r="AN381" s="26"/>
    </row>
    <row r="382" spans="40:40" x14ac:dyDescent="0.5">
      <c r="AN382" s="26"/>
    </row>
    <row r="383" spans="40:40" x14ac:dyDescent="0.5">
      <c r="AN383" s="26"/>
    </row>
    <row r="384" spans="40:40" x14ac:dyDescent="0.5">
      <c r="AN384" s="26"/>
    </row>
    <row r="385" spans="40:40" x14ac:dyDescent="0.5">
      <c r="AN385" s="26"/>
    </row>
    <row r="386" spans="40:40" x14ac:dyDescent="0.5">
      <c r="AN386" s="26"/>
    </row>
    <row r="387" spans="40:40" x14ac:dyDescent="0.5">
      <c r="AN387" s="26"/>
    </row>
    <row r="388" spans="40:40" x14ac:dyDescent="0.5">
      <c r="AN388" s="26"/>
    </row>
    <row r="389" spans="40:40" x14ac:dyDescent="0.5">
      <c r="AN389" s="26"/>
    </row>
    <row r="390" spans="40:40" x14ac:dyDescent="0.5">
      <c r="AN390" s="26"/>
    </row>
    <row r="391" spans="40:40" x14ac:dyDescent="0.5">
      <c r="AN391" s="26"/>
    </row>
    <row r="392" spans="40:40" x14ac:dyDescent="0.5">
      <c r="AN392" s="26"/>
    </row>
    <row r="393" spans="40:40" x14ac:dyDescent="0.5">
      <c r="AN393" s="26"/>
    </row>
    <row r="394" spans="40:40" x14ac:dyDescent="0.5">
      <c r="AN394" s="26"/>
    </row>
    <row r="395" spans="40:40" x14ac:dyDescent="0.5">
      <c r="AN395" s="26"/>
    </row>
    <row r="396" spans="40:40" x14ac:dyDescent="0.5">
      <c r="AN396" s="26"/>
    </row>
    <row r="397" spans="40:40" x14ac:dyDescent="0.5">
      <c r="AN397" s="26"/>
    </row>
    <row r="398" spans="40:40" x14ac:dyDescent="0.5">
      <c r="AN398" s="26"/>
    </row>
    <row r="399" spans="40:40" x14ac:dyDescent="0.5">
      <c r="AN399" s="26"/>
    </row>
    <row r="400" spans="40:40" x14ac:dyDescent="0.5">
      <c r="AN400" s="26"/>
    </row>
    <row r="401" spans="40:40" x14ac:dyDescent="0.5">
      <c r="AN401" s="26"/>
    </row>
    <row r="402" spans="40:40" x14ac:dyDescent="0.5">
      <c r="AN402" s="26"/>
    </row>
    <row r="403" spans="40:40" x14ac:dyDescent="0.5">
      <c r="AN403" s="26"/>
    </row>
    <row r="404" spans="40:40" x14ac:dyDescent="0.5">
      <c r="AN404" s="26"/>
    </row>
    <row r="405" spans="40:40" x14ac:dyDescent="0.5">
      <c r="AN405" s="26"/>
    </row>
    <row r="406" spans="40:40" x14ac:dyDescent="0.5">
      <c r="AN406" s="26"/>
    </row>
    <row r="407" spans="40:40" x14ac:dyDescent="0.5">
      <c r="AN407" s="26"/>
    </row>
    <row r="408" spans="40:40" x14ac:dyDescent="0.5">
      <c r="AN408" s="26"/>
    </row>
    <row r="409" spans="40:40" x14ac:dyDescent="0.5">
      <c r="AN409" s="26"/>
    </row>
    <row r="410" spans="40:40" x14ac:dyDescent="0.5">
      <c r="AN410" s="26"/>
    </row>
    <row r="411" spans="40:40" x14ac:dyDescent="0.5">
      <c r="AN411" s="26"/>
    </row>
    <row r="412" spans="40:40" x14ac:dyDescent="0.5">
      <c r="AN412" s="26"/>
    </row>
    <row r="413" spans="40:40" x14ac:dyDescent="0.5">
      <c r="AN413" s="26"/>
    </row>
    <row r="414" spans="40:40" x14ac:dyDescent="0.5">
      <c r="AN414" s="26"/>
    </row>
    <row r="415" spans="40:40" x14ac:dyDescent="0.5">
      <c r="AN415" s="26"/>
    </row>
    <row r="416" spans="40:40" x14ac:dyDescent="0.5">
      <c r="AN416" s="26"/>
    </row>
    <row r="417" spans="40:40" x14ac:dyDescent="0.5">
      <c r="AN417" s="26"/>
    </row>
    <row r="418" spans="40:40" x14ac:dyDescent="0.5">
      <c r="AN418" s="26"/>
    </row>
    <row r="419" spans="40:40" x14ac:dyDescent="0.5">
      <c r="AN419" s="26"/>
    </row>
    <row r="420" spans="40:40" x14ac:dyDescent="0.5">
      <c r="AN420" s="26"/>
    </row>
    <row r="421" spans="40:40" x14ac:dyDescent="0.5">
      <c r="AN421" s="26"/>
    </row>
    <row r="422" spans="40:40" x14ac:dyDescent="0.5">
      <c r="AN422" s="26"/>
    </row>
    <row r="423" spans="40:40" x14ac:dyDescent="0.5">
      <c r="AN423" s="26"/>
    </row>
    <row r="424" spans="40:40" x14ac:dyDescent="0.5">
      <c r="AN424" s="26"/>
    </row>
    <row r="425" spans="40:40" x14ac:dyDescent="0.5">
      <c r="AN425" s="26"/>
    </row>
    <row r="426" spans="40:40" x14ac:dyDescent="0.5">
      <c r="AN426" s="26"/>
    </row>
    <row r="427" spans="40:40" x14ac:dyDescent="0.5">
      <c r="AN427" s="26"/>
    </row>
    <row r="428" spans="40:40" x14ac:dyDescent="0.5">
      <c r="AN428" s="26"/>
    </row>
    <row r="429" spans="40:40" x14ac:dyDescent="0.5">
      <c r="AN429" s="26"/>
    </row>
    <row r="430" spans="40:40" x14ac:dyDescent="0.5">
      <c r="AN430" s="26"/>
    </row>
    <row r="431" spans="40:40" x14ac:dyDescent="0.5">
      <c r="AN431" s="26"/>
    </row>
    <row r="432" spans="40:40" x14ac:dyDescent="0.5">
      <c r="AN432" s="26"/>
    </row>
    <row r="433" spans="40:40" x14ac:dyDescent="0.5">
      <c r="AN433" s="26"/>
    </row>
    <row r="434" spans="40:40" x14ac:dyDescent="0.5">
      <c r="AN434" s="26"/>
    </row>
    <row r="435" spans="40:40" x14ac:dyDescent="0.5">
      <c r="AN435" s="26"/>
    </row>
    <row r="436" spans="40:40" x14ac:dyDescent="0.5">
      <c r="AN436" s="26"/>
    </row>
    <row r="437" spans="40:40" x14ac:dyDescent="0.5">
      <c r="AN437" s="26"/>
    </row>
    <row r="438" spans="40:40" x14ac:dyDescent="0.5">
      <c r="AN438" s="26"/>
    </row>
    <row r="439" spans="40:40" x14ac:dyDescent="0.5">
      <c r="AN439" s="26"/>
    </row>
    <row r="440" spans="40:40" x14ac:dyDescent="0.5">
      <c r="AN440" s="26"/>
    </row>
    <row r="441" spans="40:40" x14ac:dyDescent="0.5">
      <c r="AN441" s="26"/>
    </row>
    <row r="442" spans="40:40" x14ac:dyDescent="0.5">
      <c r="AN442" s="26"/>
    </row>
    <row r="443" spans="40:40" x14ac:dyDescent="0.5">
      <c r="AN443" s="26"/>
    </row>
    <row r="444" spans="40:40" x14ac:dyDescent="0.5">
      <c r="AN444" s="26"/>
    </row>
    <row r="445" spans="40:40" x14ac:dyDescent="0.5">
      <c r="AN445" s="26"/>
    </row>
    <row r="446" spans="40:40" x14ac:dyDescent="0.5">
      <c r="AN446" s="26"/>
    </row>
    <row r="447" spans="40:40" x14ac:dyDescent="0.5">
      <c r="AN447" s="26"/>
    </row>
    <row r="448" spans="40:40" x14ac:dyDescent="0.5">
      <c r="AN448" s="26"/>
    </row>
    <row r="449" spans="40:40" x14ac:dyDescent="0.5">
      <c r="AN449" s="26"/>
    </row>
    <row r="450" spans="40:40" x14ac:dyDescent="0.5">
      <c r="AN450" s="26"/>
    </row>
    <row r="451" spans="40:40" x14ac:dyDescent="0.5">
      <c r="AN451" s="26"/>
    </row>
    <row r="452" spans="40:40" x14ac:dyDescent="0.5">
      <c r="AN452" s="26"/>
    </row>
    <row r="453" spans="40:40" x14ac:dyDescent="0.5">
      <c r="AN453" s="26"/>
    </row>
    <row r="454" spans="40:40" x14ac:dyDescent="0.5">
      <c r="AN454" s="26"/>
    </row>
    <row r="455" spans="40:40" x14ac:dyDescent="0.5">
      <c r="AN455" s="26"/>
    </row>
    <row r="456" spans="40:40" x14ac:dyDescent="0.5">
      <c r="AN456" s="26"/>
    </row>
    <row r="457" spans="40:40" x14ac:dyDescent="0.5">
      <c r="AN457" s="26"/>
    </row>
    <row r="458" spans="40:40" x14ac:dyDescent="0.5">
      <c r="AN458" s="26"/>
    </row>
    <row r="459" spans="40:40" x14ac:dyDescent="0.5">
      <c r="AN459" s="26"/>
    </row>
    <row r="460" spans="40:40" x14ac:dyDescent="0.5">
      <c r="AN460" s="26"/>
    </row>
    <row r="461" spans="40:40" x14ac:dyDescent="0.5">
      <c r="AN461" s="26"/>
    </row>
    <row r="462" spans="40:40" x14ac:dyDescent="0.5">
      <c r="AN462" s="26"/>
    </row>
    <row r="463" spans="40:40" x14ac:dyDescent="0.5">
      <c r="AN463" s="26"/>
    </row>
    <row r="464" spans="40:40" x14ac:dyDescent="0.5">
      <c r="AN464" s="26"/>
    </row>
    <row r="465" spans="40:40" x14ac:dyDescent="0.5">
      <c r="AN465" s="26"/>
    </row>
    <row r="466" spans="40:40" x14ac:dyDescent="0.5">
      <c r="AN466" s="26"/>
    </row>
    <row r="467" spans="40:40" x14ac:dyDescent="0.5">
      <c r="AN467" s="26"/>
    </row>
    <row r="468" spans="40:40" x14ac:dyDescent="0.5">
      <c r="AN468" s="26"/>
    </row>
    <row r="469" spans="40:40" x14ac:dyDescent="0.5">
      <c r="AN469" s="26"/>
    </row>
    <row r="470" spans="40:40" x14ac:dyDescent="0.5">
      <c r="AN470" s="26"/>
    </row>
    <row r="471" spans="40:40" x14ac:dyDescent="0.5">
      <c r="AN471" s="26"/>
    </row>
    <row r="472" spans="40:40" x14ac:dyDescent="0.5">
      <c r="AN472" s="26"/>
    </row>
    <row r="473" spans="40:40" x14ac:dyDescent="0.5">
      <c r="AN473" s="26"/>
    </row>
    <row r="474" spans="40:40" x14ac:dyDescent="0.5">
      <c r="AN474" s="26"/>
    </row>
    <row r="475" spans="40:40" x14ac:dyDescent="0.5">
      <c r="AN475" s="26"/>
    </row>
    <row r="476" spans="40:40" x14ac:dyDescent="0.5">
      <c r="AN476" s="26"/>
    </row>
    <row r="477" spans="40:40" x14ac:dyDescent="0.5">
      <c r="AN477" s="26"/>
    </row>
    <row r="478" spans="40:40" x14ac:dyDescent="0.5">
      <c r="AN478" s="26"/>
    </row>
    <row r="479" spans="40:40" x14ac:dyDescent="0.5">
      <c r="AN479" s="26"/>
    </row>
    <row r="480" spans="40:40" x14ac:dyDescent="0.5">
      <c r="AN480" s="26"/>
    </row>
    <row r="481" spans="40:40" x14ac:dyDescent="0.5">
      <c r="AN481" s="26"/>
    </row>
    <row r="482" spans="40:40" x14ac:dyDescent="0.5">
      <c r="AN482" s="26"/>
    </row>
    <row r="483" spans="40:40" x14ac:dyDescent="0.5">
      <c r="AN483" s="26"/>
    </row>
    <row r="484" spans="40:40" x14ac:dyDescent="0.5">
      <c r="AN484" s="26"/>
    </row>
    <row r="485" spans="40:40" x14ac:dyDescent="0.5">
      <c r="AN485" s="26"/>
    </row>
    <row r="486" spans="40:40" x14ac:dyDescent="0.5">
      <c r="AN486" s="26"/>
    </row>
    <row r="487" spans="40:40" x14ac:dyDescent="0.5">
      <c r="AN487" s="26"/>
    </row>
    <row r="488" spans="40:40" x14ac:dyDescent="0.5">
      <c r="AN488" s="26"/>
    </row>
    <row r="489" spans="40:40" x14ac:dyDescent="0.5">
      <c r="AN489" s="26"/>
    </row>
    <row r="490" spans="40:40" x14ac:dyDescent="0.5">
      <c r="AN490" s="26"/>
    </row>
    <row r="491" spans="40:40" x14ac:dyDescent="0.5">
      <c r="AN491" s="26"/>
    </row>
    <row r="492" spans="40:40" x14ac:dyDescent="0.5">
      <c r="AN492" s="26"/>
    </row>
    <row r="493" spans="40:40" x14ac:dyDescent="0.5">
      <c r="AN493" s="26"/>
    </row>
    <row r="494" spans="40:40" x14ac:dyDescent="0.5">
      <c r="AN494" s="26"/>
    </row>
    <row r="495" spans="40:40" x14ac:dyDescent="0.5">
      <c r="AN495" s="26"/>
    </row>
    <row r="496" spans="40:40" x14ac:dyDescent="0.5">
      <c r="AN496" s="26"/>
    </row>
    <row r="497" spans="40:40" x14ac:dyDescent="0.5">
      <c r="AN497" s="26"/>
    </row>
    <row r="498" spans="40:40" x14ac:dyDescent="0.5">
      <c r="AN498" s="26"/>
    </row>
    <row r="499" spans="40:40" x14ac:dyDescent="0.5">
      <c r="AN499" s="26"/>
    </row>
    <row r="500" spans="40:40" x14ac:dyDescent="0.5">
      <c r="AN500" s="26"/>
    </row>
    <row r="501" spans="40:40" x14ac:dyDescent="0.5">
      <c r="AN501" s="26"/>
    </row>
    <row r="502" spans="40:40" x14ac:dyDescent="0.5">
      <c r="AN502" s="26"/>
    </row>
    <row r="503" spans="40:40" x14ac:dyDescent="0.5">
      <c r="AN503" s="26"/>
    </row>
    <row r="504" spans="40:40" x14ac:dyDescent="0.5">
      <c r="AN504" s="26"/>
    </row>
    <row r="505" spans="40:40" x14ac:dyDescent="0.5">
      <c r="AN505" s="26"/>
    </row>
    <row r="506" spans="40:40" x14ac:dyDescent="0.5">
      <c r="AN506" s="26"/>
    </row>
    <row r="507" spans="40:40" x14ac:dyDescent="0.5">
      <c r="AN507" s="26"/>
    </row>
    <row r="508" spans="40:40" x14ac:dyDescent="0.5">
      <c r="AN508" s="26"/>
    </row>
    <row r="509" spans="40:40" x14ac:dyDescent="0.5">
      <c r="AN509" s="26"/>
    </row>
    <row r="510" spans="40:40" x14ac:dyDescent="0.5">
      <c r="AN510" s="26"/>
    </row>
    <row r="511" spans="40:40" x14ac:dyDescent="0.5">
      <c r="AN511" s="26"/>
    </row>
    <row r="512" spans="40:40" x14ac:dyDescent="0.5">
      <c r="AN512" s="26"/>
    </row>
    <row r="513" spans="40:40" x14ac:dyDescent="0.5">
      <c r="AN513" s="26"/>
    </row>
    <row r="514" spans="40:40" x14ac:dyDescent="0.5">
      <c r="AN514" s="26"/>
    </row>
    <row r="515" spans="40:40" x14ac:dyDescent="0.5">
      <c r="AN515" s="26"/>
    </row>
    <row r="516" spans="40:40" x14ac:dyDescent="0.5">
      <c r="AN516" s="26"/>
    </row>
    <row r="517" spans="40:40" x14ac:dyDescent="0.5">
      <c r="AN517" s="26"/>
    </row>
    <row r="518" spans="40:40" x14ac:dyDescent="0.5">
      <c r="AN518" s="26"/>
    </row>
    <row r="519" spans="40:40" x14ac:dyDescent="0.5">
      <c r="AN519" s="26"/>
    </row>
    <row r="520" spans="40:40" x14ac:dyDescent="0.5">
      <c r="AN520" s="26"/>
    </row>
    <row r="521" spans="40:40" x14ac:dyDescent="0.5">
      <c r="AN521" s="26"/>
    </row>
    <row r="522" spans="40:40" x14ac:dyDescent="0.5">
      <c r="AN522" s="26"/>
    </row>
    <row r="523" spans="40:40" x14ac:dyDescent="0.5">
      <c r="AN523" s="26"/>
    </row>
    <row r="524" spans="40:40" x14ac:dyDescent="0.5">
      <c r="AN524" s="26"/>
    </row>
    <row r="525" spans="40:40" x14ac:dyDescent="0.5">
      <c r="AN525" s="26"/>
    </row>
    <row r="526" spans="40:40" x14ac:dyDescent="0.5">
      <c r="AN526" s="26"/>
    </row>
    <row r="527" spans="40:40" x14ac:dyDescent="0.5">
      <c r="AN527" s="26"/>
    </row>
    <row r="528" spans="40:40" x14ac:dyDescent="0.5">
      <c r="AN528" s="26"/>
    </row>
    <row r="529" spans="40:40" x14ac:dyDescent="0.5">
      <c r="AN529" s="26"/>
    </row>
    <row r="530" spans="40:40" x14ac:dyDescent="0.5">
      <c r="AN530" s="26"/>
    </row>
    <row r="531" spans="40:40" x14ac:dyDescent="0.5">
      <c r="AN531" s="26"/>
    </row>
    <row r="532" spans="40:40" x14ac:dyDescent="0.5">
      <c r="AN532" s="26"/>
    </row>
    <row r="533" spans="40:40" x14ac:dyDescent="0.5">
      <c r="AN533" s="26"/>
    </row>
    <row r="534" spans="40:40" x14ac:dyDescent="0.5">
      <c r="AN534" s="26"/>
    </row>
    <row r="535" spans="40:40" x14ac:dyDescent="0.5">
      <c r="AN535" s="26"/>
    </row>
    <row r="536" spans="40:40" x14ac:dyDescent="0.5">
      <c r="AN536" s="26"/>
    </row>
    <row r="537" spans="40:40" x14ac:dyDescent="0.5">
      <c r="AN537" s="26"/>
    </row>
    <row r="538" spans="40:40" x14ac:dyDescent="0.5">
      <c r="AN538" s="26"/>
    </row>
    <row r="539" spans="40:40" x14ac:dyDescent="0.5">
      <c r="AN539" s="26"/>
    </row>
    <row r="540" spans="40:40" x14ac:dyDescent="0.5">
      <c r="AN540" s="26"/>
    </row>
    <row r="541" spans="40:40" x14ac:dyDescent="0.5">
      <c r="AN541" s="26"/>
    </row>
    <row r="542" spans="40:40" x14ac:dyDescent="0.5">
      <c r="AN542" s="26"/>
    </row>
    <row r="543" spans="40:40" x14ac:dyDescent="0.5">
      <c r="AN543" s="26"/>
    </row>
    <row r="544" spans="40:40" x14ac:dyDescent="0.5">
      <c r="AN544" s="26"/>
    </row>
    <row r="545" spans="40:40" x14ac:dyDescent="0.5">
      <c r="AN545" s="26"/>
    </row>
    <row r="546" spans="40:40" x14ac:dyDescent="0.5">
      <c r="AN546" s="26"/>
    </row>
    <row r="547" spans="40:40" x14ac:dyDescent="0.5">
      <c r="AN547" s="26"/>
    </row>
    <row r="548" spans="40:40" x14ac:dyDescent="0.5">
      <c r="AN548" s="26"/>
    </row>
    <row r="549" spans="40:40" x14ac:dyDescent="0.5">
      <c r="AN549" s="26"/>
    </row>
    <row r="550" spans="40:40" x14ac:dyDescent="0.5">
      <c r="AN550" s="26"/>
    </row>
    <row r="551" spans="40:40" x14ac:dyDescent="0.5">
      <c r="AN551" s="26"/>
    </row>
    <row r="552" spans="40:40" x14ac:dyDescent="0.5">
      <c r="AN552" s="26"/>
    </row>
    <row r="553" spans="40:40" x14ac:dyDescent="0.5">
      <c r="AN553" s="26"/>
    </row>
    <row r="554" spans="40:40" x14ac:dyDescent="0.5">
      <c r="AN554" s="26"/>
    </row>
    <row r="555" spans="40:40" x14ac:dyDescent="0.5">
      <c r="AN555" s="26"/>
    </row>
    <row r="556" spans="40:40" x14ac:dyDescent="0.5">
      <c r="AN556" s="26"/>
    </row>
    <row r="557" spans="40:40" x14ac:dyDescent="0.5">
      <c r="AN557" s="26"/>
    </row>
    <row r="558" spans="40:40" x14ac:dyDescent="0.5">
      <c r="AN558" s="26"/>
    </row>
    <row r="559" spans="40:40" x14ac:dyDescent="0.5">
      <c r="AN559" s="26"/>
    </row>
    <row r="560" spans="40:40" x14ac:dyDescent="0.5">
      <c r="AN560" s="26"/>
    </row>
    <row r="561" spans="40:40" x14ac:dyDescent="0.5">
      <c r="AN561" s="26"/>
    </row>
    <row r="562" spans="40:40" x14ac:dyDescent="0.5">
      <c r="AN562" s="26"/>
    </row>
    <row r="563" spans="40:40" x14ac:dyDescent="0.5">
      <c r="AN563" s="26"/>
    </row>
    <row r="564" spans="40:40" x14ac:dyDescent="0.5">
      <c r="AN564" s="26"/>
    </row>
    <row r="565" spans="40:40" x14ac:dyDescent="0.5">
      <c r="AN565" s="26"/>
    </row>
    <row r="566" spans="40:40" x14ac:dyDescent="0.5">
      <c r="AN566" s="26"/>
    </row>
    <row r="567" spans="40:40" x14ac:dyDescent="0.5">
      <c r="AN567" s="26"/>
    </row>
    <row r="568" spans="40:40" x14ac:dyDescent="0.5">
      <c r="AN568" s="26"/>
    </row>
    <row r="569" spans="40:40" x14ac:dyDescent="0.5">
      <c r="AN569" s="26"/>
    </row>
    <row r="570" spans="40:40" x14ac:dyDescent="0.5">
      <c r="AN570" s="26"/>
    </row>
    <row r="571" spans="40:40" x14ac:dyDescent="0.5">
      <c r="AN571" s="26"/>
    </row>
    <row r="572" spans="40:40" x14ac:dyDescent="0.5">
      <c r="AN572" s="26"/>
    </row>
    <row r="573" spans="40:40" x14ac:dyDescent="0.5">
      <c r="AN573" s="26"/>
    </row>
    <row r="574" spans="40:40" x14ac:dyDescent="0.5">
      <c r="AN574" s="26"/>
    </row>
    <row r="575" spans="40:40" x14ac:dyDescent="0.5">
      <c r="AN575" s="26"/>
    </row>
    <row r="576" spans="40:40" x14ac:dyDescent="0.5">
      <c r="AN576" s="26"/>
    </row>
    <row r="577" spans="40:40" x14ac:dyDescent="0.5">
      <c r="AN577" s="26"/>
    </row>
    <row r="578" spans="40:40" x14ac:dyDescent="0.5">
      <c r="AN578" s="26"/>
    </row>
    <row r="579" spans="40:40" x14ac:dyDescent="0.5">
      <c r="AN579" s="26"/>
    </row>
    <row r="580" spans="40:40" x14ac:dyDescent="0.5">
      <c r="AN580" s="26"/>
    </row>
    <row r="581" spans="40:40" x14ac:dyDescent="0.5">
      <c r="AN581" s="26"/>
    </row>
    <row r="582" spans="40:40" x14ac:dyDescent="0.5">
      <c r="AN582" s="26"/>
    </row>
    <row r="583" spans="40:40" x14ac:dyDescent="0.5">
      <c r="AN583" s="26"/>
    </row>
    <row r="584" spans="40:40" x14ac:dyDescent="0.5">
      <c r="AN584" s="26"/>
    </row>
    <row r="585" spans="40:40" x14ac:dyDescent="0.5">
      <c r="AN585" s="26"/>
    </row>
    <row r="586" spans="40:40" x14ac:dyDescent="0.5">
      <c r="AN586" s="26"/>
    </row>
    <row r="587" spans="40:40" x14ac:dyDescent="0.5">
      <c r="AN587" s="26"/>
    </row>
    <row r="588" spans="40:40" x14ac:dyDescent="0.5">
      <c r="AN588" s="26"/>
    </row>
    <row r="589" spans="40:40" x14ac:dyDescent="0.5">
      <c r="AN589" s="26"/>
    </row>
    <row r="590" spans="40:40" x14ac:dyDescent="0.5">
      <c r="AN590" s="26"/>
    </row>
    <row r="591" spans="40:40" x14ac:dyDescent="0.5">
      <c r="AN591" s="26"/>
    </row>
    <row r="592" spans="40:40" x14ac:dyDescent="0.5">
      <c r="AN592" s="26"/>
    </row>
    <row r="593" spans="40:40" x14ac:dyDescent="0.5">
      <c r="AN593" s="26"/>
    </row>
    <row r="594" spans="40:40" x14ac:dyDescent="0.5">
      <c r="AN594" s="26"/>
    </row>
    <row r="595" spans="40:40" x14ac:dyDescent="0.5">
      <c r="AN595" s="26"/>
    </row>
    <row r="596" spans="40:40" x14ac:dyDescent="0.5">
      <c r="AN596" s="26"/>
    </row>
    <row r="597" spans="40:40" x14ac:dyDescent="0.5">
      <c r="AN597" s="26"/>
    </row>
    <row r="598" spans="40:40" x14ac:dyDescent="0.5">
      <c r="AN598" s="26"/>
    </row>
    <row r="599" spans="40:40" x14ac:dyDescent="0.5">
      <c r="AN599" s="26"/>
    </row>
    <row r="600" spans="40:40" x14ac:dyDescent="0.5">
      <c r="AN600" s="26"/>
    </row>
    <row r="601" spans="40:40" x14ac:dyDescent="0.5">
      <c r="AN601" s="26"/>
    </row>
    <row r="602" spans="40:40" x14ac:dyDescent="0.5">
      <c r="AN602" s="26"/>
    </row>
    <row r="603" spans="40:40" x14ac:dyDescent="0.5">
      <c r="AN603" s="26"/>
    </row>
    <row r="604" spans="40:40" x14ac:dyDescent="0.5">
      <c r="AN604" s="26"/>
    </row>
    <row r="605" spans="40:40" x14ac:dyDescent="0.5">
      <c r="AN605" s="26"/>
    </row>
    <row r="606" spans="40:40" x14ac:dyDescent="0.5">
      <c r="AN606" s="26"/>
    </row>
    <row r="607" spans="40:40" x14ac:dyDescent="0.5">
      <c r="AN607" s="26"/>
    </row>
    <row r="608" spans="40:40" x14ac:dyDescent="0.5">
      <c r="AN608" s="26"/>
    </row>
    <row r="609" spans="40:40" x14ac:dyDescent="0.5">
      <c r="AN609" s="26"/>
    </row>
    <row r="610" spans="40:40" x14ac:dyDescent="0.5">
      <c r="AN610" s="26"/>
    </row>
    <row r="611" spans="40:40" x14ac:dyDescent="0.5">
      <c r="AN611" s="26"/>
    </row>
  </sheetData>
  <mergeCells count="22">
    <mergeCell ref="A106:A125"/>
    <mergeCell ref="A126:A145"/>
    <mergeCell ref="A146:A165"/>
    <mergeCell ref="A166:A185"/>
    <mergeCell ref="A6:A25"/>
    <mergeCell ref="A26:A45"/>
    <mergeCell ref="A46:A65"/>
    <mergeCell ref="A66:A85"/>
    <mergeCell ref="A86:A105"/>
    <mergeCell ref="B3:C3"/>
    <mergeCell ref="AK3:AM3"/>
    <mergeCell ref="S3:U3"/>
    <mergeCell ref="V3:X3"/>
    <mergeCell ref="Y3:AA3"/>
    <mergeCell ref="AB3:AD3"/>
    <mergeCell ref="AE3:AG3"/>
    <mergeCell ref="AH3:AJ3"/>
    <mergeCell ref="D3:F3"/>
    <mergeCell ref="G3:I3"/>
    <mergeCell ref="J3:L3"/>
    <mergeCell ref="M3:O3"/>
    <mergeCell ref="P3:R3"/>
  </mergeCells>
  <pageMargins left="0.7" right="0.7" top="0.75" bottom="0.75" header="0.3" footer="0.3"/>
  <pageSetup paperSize="9" scale="65" orientation="landscape" r:id="rId1"/>
  <ignoredErrors>
    <ignoredError sqref="P6 S6 Y6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DB166-54DD-4F43-98A4-94D20B22594B}">
  <dimension ref="A1:O222"/>
  <sheetViews>
    <sheetView zoomScale="85" zoomScaleNormal="85" workbookViewId="0">
      <pane xSplit="1" ySplit="2" topLeftCell="B183" activePane="bottomRight" state="frozen"/>
      <selection pane="topRight" activeCell="B1" sqref="B1"/>
      <selection pane="bottomLeft" activeCell="A4" sqref="A4"/>
      <selection pane="bottomRight" activeCell="L18" sqref="L18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3.33203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SUM(E190)-4970</f>
        <v>4391.2000000000007</v>
      </c>
      <c r="H1" s="27">
        <f>SUM(G194)</f>
        <v>0</v>
      </c>
      <c r="I1" s="316">
        <f>SUM(G1:H1)</f>
        <v>4391.2000000000007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43809</v>
      </c>
      <c r="E2" s="3">
        <v>43840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3016437</v>
      </c>
      <c r="E3" s="1">
        <v>3026899</v>
      </c>
      <c r="F3" s="41">
        <f>(E3-D3)*$N$1</f>
        <v>10.462</v>
      </c>
      <c r="G3" s="22">
        <f>MMULT($G$1,1/$F$183)*F3</f>
        <v>15.815095911480944</v>
      </c>
      <c r="H3" s="45">
        <f>MMULT($H$1,1/180)</f>
        <v>0</v>
      </c>
      <c r="I3" s="42">
        <f>SUM(G3,H3)</f>
        <v>15.815095911480944</v>
      </c>
      <c r="J3" s="30">
        <v>310</v>
      </c>
      <c r="K3" s="195"/>
      <c r="L3" s="27">
        <f t="shared" ref="L3:L67" si="0">SUM(I3,J3,K3)</f>
        <v>325.81509591148097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1897141</v>
      </c>
      <c r="E4" s="1">
        <v>1906224</v>
      </c>
      <c r="F4" s="41">
        <f t="shared" ref="F4:F67" si="1">(E4-D4)*$N$1</f>
        <v>9.0830000000000002</v>
      </c>
      <c r="G4" s="22">
        <f>MMULT($G$1,1/$F$183)*F4</f>
        <v>13.730502405274462</v>
      </c>
      <c r="H4" s="45">
        <f>MMULT($H$1,1/180)</f>
        <v>0</v>
      </c>
      <c r="I4" s="42">
        <f t="shared" ref="I4:I67" si="2">SUM(G4,H4)</f>
        <v>13.730502405274462</v>
      </c>
      <c r="J4" s="30">
        <f>SUM($J$3)</f>
        <v>310</v>
      </c>
      <c r="K4" s="195"/>
      <c r="L4" s="27">
        <f t="shared" si="0"/>
        <v>323.73050240527448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2818525</v>
      </c>
      <c r="E5" s="1">
        <v>2829529</v>
      </c>
      <c r="F5" s="41">
        <f t="shared" si="1"/>
        <v>11.004</v>
      </c>
      <c r="G5" s="22">
        <f t="shared" ref="G5:G67" si="3">MMULT($G$1,1/$F$183)*F5</f>
        <v>16.634421277952239</v>
      </c>
      <c r="H5" s="45">
        <f t="shared" ref="H5:H67" si="4">MMULT($H$1,1/180)</f>
        <v>0</v>
      </c>
      <c r="I5" s="42">
        <f t="shared" si="2"/>
        <v>16.634421277952239</v>
      </c>
      <c r="J5" s="30">
        <f t="shared" ref="J5:J68" si="5">SUM($J$3)</f>
        <v>310</v>
      </c>
      <c r="K5" s="195"/>
      <c r="L5" s="27">
        <f t="shared" si="0"/>
        <v>326.63442127795224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2406764</v>
      </c>
      <c r="E6" s="1">
        <v>2420311</v>
      </c>
      <c r="F6" s="41">
        <f t="shared" si="1"/>
        <v>13.547000000000001</v>
      </c>
      <c r="G6" s="22">
        <f t="shared" si="3"/>
        <v>20.478599150528805</v>
      </c>
      <c r="H6" s="45">
        <f t="shared" si="4"/>
        <v>0</v>
      </c>
      <c r="I6" s="42">
        <f t="shared" si="2"/>
        <v>20.478599150528805</v>
      </c>
      <c r="J6" s="30">
        <f t="shared" si="5"/>
        <v>310</v>
      </c>
      <c r="K6" s="195"/>
      <c r="L6" s="27">
        <f t="shared" si="0"/>
        <v>330.47859915052879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3536455</v>
      </c>
      <c r="E7" s="1">
        <v>3551262</v>
      </c>
      <c r="F7" s="41">
        <f t="shared" si="1"/>
        <v>14.807</v>
      </c>
      <c r="G7" s="22">
        <f t="shared" si="3"/>
        <v>22.383303877011887</v>
      </c>
      <c r="H7" s="45">
        <f t="shared" si="4"/>
        <v>0</v>
      </c>
      <c r="I7" s="42">
        <f t="shared" si="2"/>
        <v>22.383303877011887</v>
      </c>
      <c r="J7" s="30">
        <f t="shared" si="5"/>
        <v>310</v>
      </c>
      <c r="K7" s="195"/>
      <c r="L7" s="27">
        <f t="shared" si="0"/>
        <v>332.38330387701188</v>
      </c>
      <c r="N7" t="s">
        <v>12</v>
      </c>
    </row>
    <row r="8" spans="1:15" ht="15" customHeight="1" x14ac:dyDescent="0.45">
      <c r="A8" s="318"/>
      <c r="B8" s="237" t="s">
        <v>3</v>
      </c>
      <c r="C8" s="235">
        <v>202</v>
      </c>
      <c r="D8" s="1">
        <v>0</v>
      </c>
      <c r="E8" s="1">
        <v>15268</v>
      </c>
      <c r="F8" s="41">
        <f t="shared" si="1"/>
        <v>15.268000000000001</v>
      </c>
      <c r="G8" s="22">
        <f t="shared" si="3"/>
        <v>23.080183939637838</v>
      </c>
      <c r="H8" s="45">
        <f t="shared" si="4"/>
        <v>0</v>
      </c>
      <c r="I8" s="42">
        <f t="shared" si="2"/>
        <v>23.080183939637838</v>
      </c>
      <c r="J8" s="30">
        <f t="shared" si="5"/>
        <v>310</v>
      </c>
      <c r="K8" s="195"/>
      <c r="L8" s="27">
        <f t="shared" si="0"/>
        <v>333.08018393963783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4698336</v>
      </c>
      <c r="E9" s="1">
        <v>4724607</v>
      </c>
      <c r="F9" s="41">
        <f t="shared" si="1"/>
        <v>26.271000000000001</v>
      </c>
      <c r="G9" s="22">
        <f t="shared" si="3"/>
        <v>39.713093547172235</v>
      </c>
      <c r="H9" s="45">
        <f t="shared" si="4"/>
        <v>0</v>
      </c>
      <c r="I9" s="42">
        <f t="shared" si="2"/>
        <v>39.713093547172235</v>
      </c>
      <c r="J9" s="30">
        <f t="shared" si="5"/>
        <v>310</v>
      </c>
      <c r="K9" s="195"/>
      <c r="L9" s="27">
        <f t="shared" si="0"/>
        <v>349.71309354717221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1826542</v>
      </c>
      <c r="E10" s="1">
        <v>1841117</v>
      </c>
      <c r="F10" s="41">
        <f t="shared" si="1"/>
        <v>14.575000000000001</v>
      </c>
      <c r="G10" s="22">
        <f t="shared" si="3"/>
        <v>22.032596340072146</v>
      </c>
      <c r="H10" s="45">
        <f t="shared" si="4"/>
        <v>0</v>
      </c>
      <c r="I10" s="42">
        <f t="shared" si="2"/>
        <v>22.032596340072146</v>
      </c>
      <c r="J10" s="30">
        <f t="shared" si="5"/>
        <v>310</v>
      </c>
      <c r="K10" s="195"/>
      <c r="L10" s="27">
        <f t="shared" si="0"/>
        <v>332.03259634007213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3932363</v>
      </c>
      <c r="E11" s="1">
        <v>3932830</v>
      </c>
      <c r="F11" s="41">
        <f>(E11-D11)*$N$1</f>
        <v>0.46700000000000003</v>
      </c>
      <c r="G11" s="22">
        <f t="shared" si="3"/>
        <v>0.70595008513301483</v>
      </c>
      <c r="H11" s="45">
        <f t="shared" si="4"/>
        <v>0</v>
      </c>
      <c r="I11" s="42">
        <f t="shared" si="2"/>
        <v>0.70595008513301483</v>
      </c>
      <c r="J11" s="30">
        <f t="shared" si="5"/>
        <v>310</v>
      </c>
      <c r="K11" s="195"/>
      <c r="L11" s="27">
        <f t="shared" si="0"/>
        <v>310.705950085133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4110458</v>
      </c>
      <c r="E12" s="1">
        <v>4135884</v>
      </c>
      <c r="F12" s="41">
        <f t="shared" si="1"/>
        <v>25.426000000000002</v>
      </c>
      <c r="G12" s="22">
        <f t="shared" si="3"/>
        <v>38.435732044094294</v>
      </c>
      <c r="H12" s="45">
        <f t="shared" si="4"/>
        <v>0</v>
      </c>
      <c r="I12" s="42">
        <f t="shared" si="2"/>
        <v>38.435732044094294</v>
      </c>
      <c r="J12" s="30">
        <f t="shared" si="5"/>
        <v>310</v>
      </c>
      <c r="K12" s="195"/>
      <c r="L12" s="27">
        <f t="shared" si="0"/>
        <v>348.43573204409427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3454195</v>
      </c>
      <c r="E13" s="1">
        <v>3465907</v>
      </c>
      <c r="F13" s="41">
        <f t="shared" si="1"/>
        <v>11.712</v>
      </c>
      <c r="G13" s="22">
        <f t="shared" si="3"/>
        <v>17.704683933785589</v>
      </c>
      <c r="H13" s="45">
        <f t="shared" si="4"/>
        <v>0</v>
      </c>
      <c r="I13" s="42">
        <f t="shared" si="2"/>
        <v>17.704683933785589</v>
      </c>
      <c r="J13" s="30">
        <f t="shared" si="5"/>
        <v>310</v>
      </c>
      <c r="K13" s="195"/>
      <c r="L13" s="27">
        <f t="shared" si="0"/>
        <v>327.70468393378559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1537538</v>
      </c>
      <c r="E14" s="1">
        <v>1548883</v>
      </c>
      <c r="F14" s="41">
        <f t="shared" si="1"/>
        <v>11.345000000000001</v>
      </c>
      <c r="G14" s="22">
        <f t="shared" si="3"/>
        <v>17.149900890436946</v>
      </c>
      <c r="H14" s="45">
        <f t="shared" si="4"/>
        <v>0</v>
      </c>
      <c r="I14" s="42">
        <f t="shared" si="2"/>
        <v>17.149900890436946</v>
      </c>
      <c r="J14" s="30">
        <f t="shared" si="5"/>
        <v>310</v>
      </c>
      <c r="K14" s="195"/>
      <c r="L14" s="27">
        <f t="shared" si="0"/>
        <v>327.14990089043692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2168467</v>
      </c>
      <c r="E15" s="1">
        <v>2175676</v>
      </c>
      <c r="F15" s="41">
        <f t="shared" si="1"/>
        <v>7.2090000000000005</v>
      </c>
      <c r="G15" s="22">
        <f t="shared" si="3"/>
        <v>10.89763204223534</v>
      </c>
      <c r="H15" s="45">
        <f t="shared" si="4"/>
        <v>0</v>
      </c>
      <c r="I15" s="42">
        <f t="shared" si="2"/>
        <v>10.89763204223534</v>
      </c>
      <c r="J15" s="30">
        <f t="shared" si="5"/>
        <v>310</v>
      </c>
      <c r="K15" s="195"/>
      <c r="L15" s="27">
        <f t="shared" si="0"/>
        <v>320.89763204223533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5490374</v>
      </c>
      <c r="E16" s="1">
        <v>5494545</v>
      </c>
      <c r="F16" s="41">
        <f t="shared" si="1"/>
        <v>4.1710000000000003</v>
      </c>
      <c r="G16" s="22">
        <f t="shared" si="3"/>
        <v>6.3051773128261352</v>
      </c>
      <c r="H16" s="45">
        <f t="shared" si="4"/>
        <v>0</v>
      </c>
      <c r="I16" s="42">
        <f t="shared" si="2"/>
        <v>6.3051773128261352</v>
      </c>
      <c r="J16" s="30">
        <f t="shared" si="5"/>
        <v>310</v>
      </c>
      <c r="K16" s="195"/>
      <c r="L16" s="27">
        <f t="shared" si="0"/>
        <v>316.30517731282612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2908650</v>
      </c>
      <c r="E17" s="1">
        <v>2919514</v>
      </c>
      <c r="F17" s="41">
        <f t="shared" si="1"/>
        <v>10.864000000000001</v>
      </c>
      <c r="G17" s="22">
        <f t="shared" si="3"/>
        <v>16.422787419454117</v>
      </c>
      <c r="H17" s="45">
        <f t="shared" si="4"/>
        <v>0</v>
      </c>
      <c r="I17" s="42">
        <f t="shared" si="2"/>
        <v>16.422787419454117</v>
      </c>
      <c r="J17" s="30">
        <f t="shared" si="5"/>
        <v>310</v>
      </c>
      <c r="K17" s="195"/>
      <c r="L17" s="27">
        <f t="shared" si="0"/>
        <v>326.4227874194541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2516843</v>
      </c>
      <c r="E18" s="1">
        <v>2533804</v>
      </c>
      <c r="F18" s="41">
        <f t="shared" si="1"/>
        <v>16.961000000000002</v>
      </c>
      <c r="G18" s="22">
        <f t="shared" si="3"/>
        <v>25.63944195704725</v>
      </c>
      <c r="H18" s="45">
        <f t="shared" si="4"/>
        <v>0</v>
      </c>
      <c r="I18" s="42">
        <f t="shared" si="2"/>
        <v>25.63944195704725</v>
      </c>
      <c r="J18" s="30">
        <v>310</v>
      </c>
      <c r="K18" s="195"/>
      <c r="L18" s="27">
        <f t="shared" si="0"/>
        <v>335.63944195704727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3684803</v>
      </c>
      <c r="E19" s="1">
        <v>3707300</v>
      </c>
      <c r="F19" s="41">
        <f t="shared" si="1"/>
        <v>22.497</v>
      </c>
      <c r="G19" s="22">
        <f t="shared" si="3"/>
        <v>34.008049390230049</v>
      </c>
      <c r="H19" s="45">
        <f t="shared" si="4"/>
        <v>0</v>
      </c>
      <c r="I19" s="42">
        <f t="shared" si="2"/>
        <v>34.008049390230049</v>
      </c>
      <c r="J19" s="30">
        <f t="shared" si="5"/>
        <v>310</v>
      </c>
      <c r="K19" s="195"/>
      <c r="L19" s="27">
        <f t="shared" si="0"/>
        <v>344.00804939023004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5458528</v>
      </c>
      <c r="E20" s="1">
        <v>5483685</v>
      </c>
      <c r="F20" s="41">
        <f t="shared" si="1"/>
        <v>25.157</v>
      </c>
      <c r="G20" s="22">
        <f t="shared" si="3"/>
        <v>38.029092701694331</v>
      </c>
      <c r="H20" s="45">
        <f t="shared" si="4"/>
        <v>0</v>
      </c>
      <c r="I20" s="42">
        <f t="shared" si="2"/>
        <v>38.029092701694331</v>
      </c>
      <c r="J20" s="30">
        <f t="shared" si="5"/>
        <v>310</v>
      </c>
      <c r="K20" s="195"/>
      <c r="L20" s="27">
        <f t="shared" si="0"/>
        <v>348.02909270169431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1788536</v>
      </c>
      <c r="E21" s="1">
        <v>1801474</v>
      </c>
      <c r="F21" s="41">
        <f t="shared" si="1"/>
        <v>12.938000000000001</v>
      </c>
      <c r="G21" s="22">
        <f t="shared" si="3"/>
        <v>19.557991866061982</v>
      </c>
      <c r="H21" s="45">
        <f t="shared" si="4"/>
        <v>0</v>
      </c>
      <c r="I21" s="42">
        <f t="shared" si="2"/>
        <v>19.557991866061982</v>
      </c>
      <c r="J21" s="30">
        <f t="shared" si="5"/>
        <v>310</v>
      </c>
      <c r="K21" s="195"/>
      <c r="L21" s="27">
        <f t="shared" si="0"/>
        <v>329.55799186606197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273601</v>
      </c>
      <c r="E22" s="1">
        <v>276786</v>
      </c>
      <c r="F22" s="41">
        <f t="shared" si="1"/>
        <v>3.1850000000000001</v>
      </c>
      <c r="G22" s="22">
        <f t="shared" si="3"/>
        <v>4.8146702808322317</v>
      </c>
      <c r="H22" s="45">
        <f t="shared" si="4"/>
        <v>0</v>
      </c>
      <c r="I22" s="42">
        <f t="shared" si="2"/>
        <v>4.8146702808322317</v>
      </c>
      <c r="J22" s="30">
        <f t="shared" si="5"/>
        <v>310</v>
      </c>
      <c r="K22" s="195"/>
      <c r="L22" s="27">
        <f t="shared" si="0"/>
        <v>314.81467028083222</v>
      </c>
    </row>
    <row r="23" spans="1:12" ht="15" customHeight="1" x14ac:dyDescent="0.45">
      <c r="A23" s="314"/>
      <c r="B23" s="5" t="s">
        <v>4</v>
      </c>
      <c r="C23" s="2">
        <v>101</v>
      </c>
      <c r="D23" s="1">
        <v>75369</v>
      </c>
      <c r="E23" s="1">
        <v>76620</v>
      </c>
      <c r="F23" s="41">
        <f>(E23-D23)*0.01</f>
        <v>12.51</v>
      </c>
      <c r="G23" s="22">
        <f t="shared" si="3"/>
        <v>18.910996927224872</v>
      </c>
      <c r="H23" s="45">
        <f t="shared" si="4"/>
        <v>0</v>
      </c>
      <c r="I23" s="42">
        <f t="shared" si="2"/>
        <v>18.910996927224872</v>
      </c>
      <c r="J23" s="30">
        <f t="shared" si="5"/>
        <v>310</v>
      </c>
      <c r="K23" s="195"/>
      <c r="L23" s="27">
        <f t="shared" si="0"/>
        <v>328.91099692722486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3270769</v>
      </c>
      <c r="E24" s="1">
        <v>3307784</v>
      </c>
      <c r="F24" s="41">
        <f t="shared" si="1"/>
        <v>37.015000000000001</v>
      </c>
      <c r="G24" s="22">
        <f t="shared" si="3"/>
        <v>55.954480516485106</v>
      </c>
      <c r="H24" s="45">
        <f t="shared" si="4"/>
        <v>0</v>
      </c>
      <c r="I24" s="42">
        <f t="shared" si="2"/>
        <v>55.954480516485106</v>
      </c>
      <c r="J24" s="30">
        <f t="shared" si="5"/>
        <v>310</v>
      </c>
      <c r="K24" s="195"/>
      <c r="L24" s="27">
        <f t="shared" si="0"/>
        <v>365.95448051648509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3323056</v>
      </c>
      <c r="E25" s="1">
        <v>3342857</v>
      </c>
      <c r="F25" s="41">
        <f t="shared" si="1"/>
        <v>19.801000000000002</v>
      </c>
      <c r="G25" s="22">
        <f t="shared" si="3"/>
        <v>29.932585943723399</v>
      </c>
      <c r="H25" s="45">
        <f t="shared" si="4"/>
        <v>0</v>
      </c>
      <c r="I25" s="42">
        <f t="shared" si="2"/>
        <v>29.932585943723399</v>
      </c>
      <c r="J25" s="30">
        <f t="shared" si="5"/>
        <v>310</v>
      </c>
      <c r="K25" s="195"/>
      <c r="L25" s="27">
        <f t="shared" si="0"/>
        <v>339.93258594372338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5145380</v>
      </c>
      <c r="E26" s="1">
        <v>5164859</v>
      </c>
      <c r="F26" s="41">
        <f t="shared" si="1"/>
        <v>19.478999999999999</v>
      </c>
      <c r="G26" s="22">
        <f t="shared" si="3"/>
        <v>29.445828069177718</v>
      </c>
      <c r="H26" s="45">
        <f t="shared" si="4"/>
        <v>0</v>
      </c>
      <c r="I26" s="42">
        <f t="shared" si="2"/>
        <v>29.445828069177718</v>
      </c>
      <c r="J26" s="30">
        <f t="shared" si="5"/>
        <v>310</v>
      </c>
      <c r="K26" s="195"/>
      <c r="L26" s="27">
        <f t="shared" si="0"/>
        <v>339.44582806917771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2558097</v>
      </c>
      <c r="E27" s="1">
        <v>2585390</v>
      </c>
      <c r="F27" s="41">
        <f t="shared" si="1"/>
        <v>27.292999999999999</v>
      </c>
      <c r="G27" s="22">
        <f t="shared" si="3"/>
        <v>41.258020714208506</v>
      </c>
      <c r="H27" s="45">
        <f t="shared" si="4"/>
        <v>0</v>
      </c>
      <c r="I27" s="42">
        <f t="shared" si="2"/>
        <v>41.258020714208506</v>
      </c>
      <c r="J27" s="30">
        <f t="shared" si="5"/>
        <v>310</v>
      </c>
      <c r="K27" s="195"/>
      <c r="L27" s="27">
        <f t="shared" si="0"/>
        <v>351.2580207142085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2474018</v>
      </c>
      <c r="E28" s="1">
        <v>2486155</v>
      </c>
      <c r="F28" s="41">
        <f t="shared" si="1"/>
        <v>12.137</v>
      </c>
      <c r="G28" s="22">
        <f t="shared" si="3"/>
        <v>18.347143861369169</v>
      </c>
      <c r="H28" s="45">
        <f t="shared" si="4"/>
        <v>0</v>
      </c>
      <c r="I28" s="42">
        <f t="shared" si="2"/>
        <v>18.347143861369169</v>
      </c>
      <c r="J28" s="30">
        <f t="shared" si="5"/>
        <v>310</v>
      </c>
      <c r="K28" s="195"/>
      <c r="L28" s="27">
        <f t="shared" si="0"/>
        <v>328.34714386136915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2342834</v>
      </c>
      <c r="E29" s="1">
        <v>2356848</v>
      </c>
      <c r="F29" s="41">
        <f t="shared" si="1"/>
        <v>14.014000000000001</v>
      </c>
      <c r="G29" s="22">
        <f t="shared" si="3"/>
        <v>21.184549235661819</v>
      </c>
      <c r="H29" s="45">
        <f t="shared" si="4"/>
        <v>0</v>
      </c>
      <c r="I29" s="42">
        <f t="shared" si="2"/>
        <v>21.184549235661819</v>
      </c>
      <c r="J29" s="30">
        <f t="shared" si="5"/>
        <v>310</v>
      </c>
      <c r="K29" s="195"/>
      <c r="L29" s="27">
        <f t="shared" si="0"/>
        <v>331.18454923566185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2673938</v>
      </c>
      <c r="E30" s="1">
        <v>2689694</v>
      </c>
      <c r="F30" s="41">
        <f t="shared" si="1"/>
        <v>15.756</v>
      </c>
      <c r="G30" s="22">
        <f t="shared" si="3"/>
        <v>23.817879103545572</v>
      </c>
      <c r="H30" s="45">
        <f t="shared" si="4"/>
        <v>0</v>
      </c>
      <c r="I30" s="42">
        <f t="shared" si="2"/>
        <v>23.817879103545572</v>
      </c>
      <c r="J30" s="30">
        <f t="shared" si="5"/>
        <v>310</v>
      </c>
      <c r="K30" s="195"/>
      <c r="L30" s="27">
        <f t="shared" si="0"/>
        <v>333.81787910354558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4125128</v>
      </c>
      <c r="E31" s="1">
        <v>4138979</v>
      </c>
      <c r="F31" s="41">
        <f t="shared" si="1"/>
        <v>13.851000000000001</v>
      </c>
      <c r="G31" s="22">
        <f t="shared" si="3"/>
        <v>20.938146957553297</v>
      </c>
      <c r="H31" s="45">
        <f t="shared" si="4"/>
        <v>0</v>
      </c>
      <c r="I31" s="42">
        <f t="shared" si="2"/>
        <v>20.938146957553297</v>
      </c>
      <c r="J31" s="30">
        <f t="shared" si="5"/>
        <v>310</v>
      </c>
      <c r="K31" s="195"/>
      <c r="L31" s="27">
        <f t="shared" si="0"/>
        <v>330.93814695755327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2442797</v>
      </c>
      <c r="E32" s="1">
        <v>2458884</v>
      </c>
      <c r="F32" s="41">
        <f t="shared" si="1"/>
        <v>16.087</v>
      </c>
      <c r="G32" s="22">
        <f t="shared" si="3"/>
        <v>24.31824201185184</v>
      </c>
      <c r="H32" s="45">
        <f t="shared" si="4"/>
        <v>0</v>
      </c>
      <c r="I32" s="42">
        <f t="shared" si="2"/>
        <v>24.31824201185184</v>
      </c>
      <c r="J32" s="30">
        <f t="shared" si="5"/>
        <v>310</v>
      </c>
      <c r="K32" s="195"/>
      <c r="L32" s="27">
        <f t="shared" si="0"/>
        <v>334.31824201185185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106778</v>
      </c>
      <c r="E33" s="1">
        <v>107454</v>
      </c>
      <c r="F33" s="41">
        <f>(E33-D33)*0.01</f>
        <v>6.76</v>
      </c>
      <c r="G33" s="22">
        <f t="shared" si="3"/>
        <v>10.218892024623512</v>
      </c>
      <c r="H33" s="45">
        <f t="shared" si="4"/>
        <v>0</v>
      </c>
      <c r="I33" s="42">
        <f t="shared" si="2"/>
        <v>10.218892024623512</v>
      </c>
      <c r="J33" s="30">
        <f t="shared" si="5"/>
        <v>310</v>
      </c>
      <c r="K33" s="195"/>
      <c r="L33" s="27">
        <f t="shared" si="0"/>
        <v>320.21889202462353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3201791</v>
      </c>
      <c r="E34" s="1">
        <v>3230482</v>
      </c>
      <c r="F34" s="41">
        <f t="shared" si="1"/>
        <v>28.690999999999999</v>
      </c>
      <c r="G34" s="22">
        <f t="shared" si="3"/>
        <v>43.371335958354017</v>
      </c>
      <c r="H34" s="45">
        <f t="shared" si="4"/>
        <v>0</v>
      </c>
      <c r="I34" s="42">
        <f t="shared" si="2"/>
        <v>43.371335958354017</v>
      </c>
      <c r="J34" s="30">
        <f t="shared" si="5"/>
        <v>310</v>
      </c>
      <c r="K34" s="195"/>
      <c r="L34" s="27">
        <f t="shared" si="0"/>
        <v>353.371335958354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3178352</v>
      </c>
      <c r="E35" s="1">
        <v>3197084</v>
      </c>
      <c r="F35" s="41">
        <f t="shared" si="1"/>
        <v>18.731999999999999</v>
      </c>
      <c r="G35" s="22">
        <f t="shared" si="3"/>
        <v>28.316610267048464</v>
      </c>
      <c r="H35" s="45">
        <f t="shared" si="4"/>
        <v>0</v>
      </c>
      <c r="I35" s="42">
        <f t="shared" si="2"/>
        <v>28.316610267048464</v>
      </c>
      <c r="J35" s="30">
        <f t="shared" si="5"/>
        <v>310</v>
      </c>
      <c r="K35" s="195"/>
      <c r="L35" s="27">
        <f t="shared" si="0"/>
        <v>338.31661026704847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1217524</v>
      </c>
      <c r="E36" s="1">
        <v>1227609</v>
      </c>
      <c r="F36" s="41">
        <f t="shared" si="1"/>
        <v>10.085000000000001</v>
      </c>
      <c r="G36" s="22">
        <f t="shared" si="3"/>
        <v>15.245196163953866</v>
      </c>
      <c r="H36" s="45">
        <f t="shared" si="4"/>
        <v>0</v>
      </c>
      <c r="I36" s="42">
        <f t="shared" si="2"/>
        <v>15.245196163953866</v>
      </c>
      <c r="J36" s="30">
        <f t="shared" si="5"/>
        <v>310</v>
      </c>
      <c r="K36" s="195"/>
      <c r="L36" s="27">
        <f t="shared" si="0"/>
        <v>325.24519616395389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1455722</v>
      </c>
      <c r="E37" s="1">
        <v>1471030</v>
      </c>
      <c r="F37" s="41">
        <f t="shared" si="1"/>
        <v>15.308</v>
      </c>
      <c r="G37" s="22">
        <f t="shared" si="3"/>
        <v>23.140650756351587</v>
      </c>
      <c r="H37" s="45">
        <f t="shared" si="4"/>
        <v>0</v>
      </c>
      <c r="I37" s="42">
        <f t="shared" si="2"/>
        <v>23.140650756351587</v>
      </c>
      <c r="J37" s="30">
        <f t="shared" si="5"/>
        <v>310</v>
      </c>
      <c r="K37" s="195"/>
      <c r="L37" s="27">
        <f t="shared" si="0"/>
        <v>333.14065075635159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3667837</v>
      </c>
      <c r="E38" s="1">
        <v>3691234</v>
      </c>
      <c r="F38" s="41">
        <f t="shared" si="1"/>
        <v>23.397000000000002</v>
      </c>
      <c r="G38" s="22">
        <f t="shared" si="3"/>
        <v>35.368552766289397</v>
      </c>
      <c r="H38" s="45">
        <f t="shared" si="4"/>
        <v>0</v>
      </c>
      <c r="I38" s="42">
        <f t="shared" si="2"/>
        <v>35.368552766289397</v>
      </c>
      <c r="J38" s="30">
        <f t="shared" si="5"/>
        <v>310</v>
      </c>
      <c r="K38" s="195"/>
      <c r="L38" s="27">
        <f t="shared" si="0"/>
        <v>345.36855276628938</v>
      </c>
    </row>
    <row r="39" spans="1:12" ht="15" customHeight="1" x14ac:dyDescent="0.45">
      <c r="A39" s="314"/>
      <c r="B39" s="5" t="s">
        <v>4</v>
      </c>
      <c r="C39" s="2">
        <v>501</v>
      </c>
      <c r="D39" s="238">
        <v>4640078</v>
      </c>
      <c r="E39" s="1">
        <v>4674387</v>
      </c>
      <c r="F39" s="41">
        <f t="shared" si="1"/>
        <v>34.308999999999997</v>
      </c>
      <c r="G39" s="22">
        <f t="shared" si="3"/>
        <v>51.863900365800006</v>
      </c>
      <c r="H39" s="45">
        <f t="shared" si="4"/>
        <v>0</v>
      </c>
      <c r="I39" s="42">
        <f t="shared" si="2"/>
        <v>51.863900365800006</v>
      </c>
      <c r="J39" s="30">
        <f t="shared" si="5"/>
        <v>310</v>
      </c>
      <c r="K39" s="195"/>
      <c r="L39" s="27">
        <f t="shared" si="0"/>
        <v>361.86390036580002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6508474</v>
      </c>
      <c r="E40" s="1">
        <v>6525389</v>
      </c>
      <c r="F40" s="41">
        <f t="shared" si="1"/>
        <v>16.914999999999999</v>
      </c>
      <c r="G40" s="22">
        <f t="shared" si="3"/>
        <v>25.569905117826433</v>
      </c>
      <c r="H40" s="45">
        <f t="shared" si="4"/>
        <v>0</v>
      </c>
      <c r="I40" s="42">
        <f t="shared" si="2"/>
        <v>25.569905117826433</v>
      </c>
      <c r="J40" s="30">
        <f t="shared" si="5"/>
        <v>310</v>
      </c>
      <c r="K40" s="195"/>
      <c r="L40" s="27">
        <f t="shared" si="0"/>
        <v>335.56990511782641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3563062</v>
      </c>
      <c r="E41" s="1">
        <v>3589692</v>
      </c>
      <c r="F41" s="41">
        <f t="shared" si="1"/>
        <v>26.63</v>
      </c>
      <c r="G41" s="22">
        <f t="shared" si="3"/>
        <v>40.255783227178121</v>
      </c>
      <c r="H41" s="45">
        <f t="shared" si="4"/>
        <v>0</v>
      </c>
      <c r="I41" s="42">
        <f t="shared" si="2"/>
        <v>40.255783227178121</v>
      </c>
      <c r="J41" s="30">
        <f t="shared" si="5"/>
        <v>310</v>
      </c>
      <c r="K41" s="195"/>
      <c r="L41" s="27">
        <f t="shared" si="0"/>
        <v>350.25578322717814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2912342</v>
      </c>
      <c r="E42" s="1">
        <v>2919557</v>
      </c>
      <c r="F42" s="41">
        <f t="shared" si="1"/>
        <v>7.2149999999999999</v>
      </c>
      <c r="G42" s="22">
        <f t="shared" si="3"/>
        <v>10.906702064742403</v>
      </c>
      <c r="H42" s="45">
        <f t="shared" si="4"/>
        <v>0</v>
      </c>
      <c r="I42" s="42">
        <f t="shared" si="2"/>
        <v>10.906702064742403</v>
      </c>
      <c r="J42" s="30">
        <f t="shared" si="5"/>
        <v>310</v>
      </c>
      <c r="K42" s="195"/>
      <c r="L42" s="27">
        <f t="shared" si="0"/>
        <v>320.90670206474238</v>
      </c>
    </row>
    <row r="43" spans="1:12" ht="15" customHeight="1" x14ac:dyDescent="0.45">
      <c r="A43" s="318"/>
      <c r="B43" s="5" t="s">
        <v>5</v>
      </c>
      <c r="C43" s="2">
        <v>101</v>
      </c>
      <c r="D43" s="1">
        <v>24018</v>
      </c>
      <c r="E43" s="1">
        <v>24787</v>
      </c>
      <c r="F43" s="41">
        <f>(E43-D43)*0.01</f>
        <v>7.69</v>
      </c>
      <c r="G43" s="22">
        <f t="shared" si="3"/>
        <v>11.624745513218167</v>
      </c>
      <c r="H43" s="45">
        <f t="shared" si="4"/>
        <v>0</v>
      </c>
      <c r="I43" s="42">
        <f t="shared" si="2"/>
        <v>11.624745513218167</v>
      </c>
      <c r="J43" s="30">
        <f t="shared" si="5"/>
        <v>310</v>
      </c>
      <c r="K43" s="195"/>
      <c r="L43" s="27">
        <f t="shared" si="0"/>
        <v>321.62474551321816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2761044</v>
      </c>
      <c r="E44" s="1">
        <v>2793627</v>
      </c>
      <c r="F44" s="41">
        <f t="shared" si="1"/>
        <v>32.582999999999998</v>
      </c>
      <c r="G44" s="22">
        <f t="shared" si="3"/>
        <v>49.254757224601754</v>
      </c>
      <c r="H44" s="45">
        <f t="shared" si="4"/>
        <v>0</v>
      </c>
      <c r="I44" s="42">
        <f t="shared" si="2"/>
        <v>49.254757224601754</v>
      </c>
      <c r="J44" s="30">
        <f t="shared" si="5"/>
        <v>310</v>
      </c>
      <c r="K44" s="195"/>
      <c r="L44" s="27">
        <f t="shared" si="0"/>
        <v>359.25475722460175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974159</v>
      </c>
      <c r="E45" s="1">
        <v>976923</v>
      </c>
      <c r="F45" s="41">
        <f t="shared" si="1"/>
        <v>2.7640000000000002</v>
      </c>
      <c r="G45" s="22">
        <f t="shared" si="3"/>
        <v>4.1782570349200281</v>
      </c>
      <c r="H45" s="45">
        <f t="shared" si="4"/>
        <v>0</v>
      </c>
      <c r="I45" s="42">
        <f t="shared" si="2"/>
        <v>4.1782570349200281</v>
      </c>
      <c r="J45" s="30">
        <f t="shared" si="5"/>
        <v>310</v>
      </c>
      <c r="K45" s="195"/>
      <c r="L45" s="27">
        <f t="shared" si="0"/>
        <v>314.17825703492002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4105019</v>
      </c>
      <c r="E46" s="1">
        <v>4120083</v>
      </c>
      <c r="F46" s="41">
        <f t="shared" si="1"/>
        <v>15.064</v>
      </c>
      <c r="G46" s="22">
        <f t="shared" si="3"/>
        <v>22.771803174397721</v>
      </c>
      <c r="H46" s="45">
        <f t="shared" si="4"/>
        <v>0</v>
      </c>
      <c r="I46" s="42">
        <f t="shared" si="2"/>
        <v>22.771803174397721</v>
      </c>
      <c r="J46" s="30">
        <f t="shared" si="5"/>
        <v>310</v>
      </c>
      <c r="K46" s="195"/>
      <c r="L46" s="27">
        <f t="shared" si="0"/>
        <v>332.77180317439775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3778098</v>
      </c>
      <c r="E47" s="1">
        <v>3810499</v>
      </c>
      <c r="F47" s="41">
        <f t="shared" si="1"/>
        <v>32.401000000000003</v>
      </c>
      <c r="G47" s="22">
        <f t="shared" si="3"/>
        <v>48.979633208554212</v>
      </c>
      <c r="H47" s="45">
        <f t="shared" si="4"/>
        <v>0</v>
      </c>
      <c r="I47" s="42">
        <f t="shared" si="2"/>
        <v>48.979633208554212</v>
      </c>
      <c r="J47" s="30">
        <f t="shared" si="5"/>
        <v>310</v>
      </c>
      <c r="K47" s="195"/>
      <c r="L47" s="27">
        <f t="shared" si="0"/>
        <v>358.97963320855422</v>
      </c>
    </row>
    <row r="48" spans="1:12" ht="15" customHeight="1" x14ac:dyDescent="0.45">
      <c r="A48" s="318"/>
      <c r="B48" s="5" t="s">
        <v>5</v>
      </c>
      <c r="C48" s="2">
        <v>202</v>
      </c>
      <c r="D48" s="1">
        <v>2813647</v>
      </c>
      <c r="E48" s="1">
        <v>2841800</v>
      </c>
      <c r="F48" s="41">
        <f t="shared" si="1"/>
        <v>28.153000000000002</v>
      </c>
      <c r="G48" s="22">
        <f t="shared" si="3"/>
        <v>42.558057273554105</v>
      </c>
      <c r="H48" s="45">
        <f t="shared" si="4"/>
        <v>0</v>
      </c>
      <c r="I48" s="42">
        <f t="shared" si="2"/>
        <v>42.558057273554105</v>
      </c>
      <c r="J48" s="30">
        <f t="shared" si="5"/>
        <v>310</v>
      </c>
      <c r="K48" s="195"/>
      <c r="L48" s="27">
        <f t="shared" si="0"/>
        <v>352.55805727355408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2282394</v>
      </c>
      <c r="E49" s="1">
        <v>2302374</v>
      </c>
      <c r="F49" s="41">
        <f t="shared" si="1"/>
        <v>19.98</v>
      </c>
      <c r="G49" s="22">
        <f t="shared" si="3"/>
        <v>30.203174948517422</v>
      </c>
      <c r="H49" s="45">
        <f t="shared" si="4"/>
        <v>0</v>
      </c>
      <c r="I49" s="42">
        <f t="shared" si="2"/>
        <v>30.203174948517422</v>
      </c>
      <c r="J49" s="30">
        <f t="shared" si="5"/>
        <v>310</v>
      </c>
      <c r="K49" s="195"/>
      <c r="L49" s="27">
        <f t="shared" si="0"/>
        <v>340.20317494851741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2213496</v>
      </c>
      <c r="E50" s="1">
        <v>2222852</v>
      </c>
      <c r="F50" s="41">
        <f t="shared" si="1"/>
        <v>9.3559999999999999</v>
      </c>
      <c r="G50" s="22">
        <f t="shared" si="3"/>
        <v>14.143188429345795</v>
      </c>
      <c r="H50" s="45">
        <f t="shared" si="4"/>
        <v>0</v>
      </c>
      <c r="I50" s="42">
        <f t="shared" si="2"/>
        <v>14.143188429345795</v>
      </c>
      <c r="J50" s="30">
        <f t="shared" si="5"/>
        <v>310</v>
      </c>
      <c r="K50" s="195"/>
      <c r="L50" s="27">
        <f t="shared" si="0"/>
        <v>324.1431884293458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2642063</v>
      </c>
      <c r="E51" s="1">
        <v>2651025</v>
      </c>
      <c r="F51" s="41">
        <f t="shared" si="1"/>
        <v>8.9619999999999997</v>
      </c>
      <c r="G51" s="22">
        <f t="shared" si="3"/>
        <v>13.547590284715371</v>
      </c>
      <c r="H51" s="45">
        <f t="shared" si="4"/>
        <v>0</v>
      </c>
      <c r="I51" s="42">
        <f t="shared" si="2"/>
        <v>13.547590284715371</v>
      </c>
      <c r="J51" s="30">
        <f t="shared" si="5"/>
        <v>310</v>
      </c>
      <c r="K51" s="195"/>
      <c r="L51" s="27">
        <f t="shared" si="0"/>
        <v>323.5475902847154</v>
      </c>
    </row>
    <row r="52" spans="1:12" ht="15" customHeight="1" x14ac:dyDescent="0.45">
      <c r="A52" s="318"/>
      <c r="B52" s="5" t="s">
        <v>5</v>
      </c>
      <c r="C52" s="2">
        <v>302</v>
      </c>
      <c r="D52" s="1">
        <v>3965726</v>
      </c>
      <c r="E52" s="1">
        <v>3982807</v>
      </c>
      <c r="F52" s="41">
        <f t="shared" si="1"/>
        <v>17.081</v>
      </c>
      <c r="G52" s="22">
        <f t="shared" si="3"/>
        <v>25.820842407188493</v>
      </c>
      <c r="H52" s="45">
        <f t="shared" si="4"/>
        <v>0</v>
      </c>
      <c r="I52" s="42">
        <f t="shared" si="2"/>
        <v>25.820842407188493</v>
      </c>
      <c r="J52" s="30">
        <f t="shared" si="5"/>
        <v>310</v>
      </c>
      <c r="K52" s="195"/>
      <c r="L52" s="27">
        <f t="shared" si="0"/>
        <v>335.82084240718848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3622383</v>
      </c>
      <c r="E53" s="1">
        <v>3630480</v>
      </c>
      <c r="F53" s="41">
        <f t="shared" si="1"/>
        <v>8.0969999999999995</v>
      </c>
      <c r="G53" s="22">
        <f t="shared" si="3"/>
        <v>12.239995373280559</v>
      </c>
      <c r="H53" s="45">
        <f t="shared" si="4"/>
        <v>0</v>
      </c>
      <c r="I53" s="42">
        <f t="shared" si="2"/>
        <v>12.239995373280559</v>
      </c>
      <c r="J53" s="30">
        <f t="shared" si="5"/>
        <v>310</v>
      </c>
      <c r="K53" s="195"/>
      <c r="L53" s="27">
        <f t="shared" si="0"/>
        <v>322.23999537328058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2842294</v>
      </c>
      <c r="E54" s="1">
        <v>2854578</v>
      </c>
      <c r="F54" s="41">
        <f t="shared" si="1"/>
        <v>12.284000000000001</v>
      </c>
      <c r="G54" s="22">
        <f t="shared" si="3"/>
        <v>18.569359412792195</v>
      </c>
      <c r="H54" s="45">
        <f t="shared" si="4"/>
        <v>0</v>
      </c>
      <c r="I54" s="42">
        <f t="shared" si="2"/>
        <v>18.569359412792195</v>
      </c>
      <c r="J54" s="30">
        <f t="shared" si="5"/>
        <v>310</v>
      </c>
      <c r="K54" s="195"/>
      <c r="L54" s="27">
        <f t="shared" si="0"/>
        <v>328.56935941279221</v>
      </c>
    </row>
    <row r="55" spans="1:12" ht="15" customHeight="1" x14ac:dyDescent="0.45">
      <c r="A55" s="318"/>
      <c r="B55" s="5" t="s">
        <v>5</v>
      </c>
      <c r="C55" s="2">
        <v>401</v>
      </c>
      <c r="D55" s="1">
        <v>2954040</v>
      </c>
      <c r="E55" s="1">
        <v>2962532</v>
      </c>
      <c r="F55" s="41">
        <f t="shared" si="1"/>
        <v>8.4920000000000009</v>
      </c>
      <c r="G55" s="22">
        <f t="shared" si="3"/>
        <v>12.837105188328827</v>
      </c>
      <c r="H55" s="45">
        <f t="shared" si="4"/>
        <v>0</v>
      </c>
      <c r="I55" s="42">
        <f t="shared" si="2"/>
        <v>12.837105188328827</v>
      </c>
      <c r="J55" s="30">
        <f t="shared" si="5"/>
        <v>310</v>
      </c>
      <c r="K55" s="195"/>
      <c r="L55" s="27">
        <f t="shared" si="0"/>
        <v>322.83710518832885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1261464</v>
      </c>
      <c r="E56" s="1">
        <v>1293955</v>
      </c>
      <c r="F56" s="41">
        <f t="shared" si="1"/>
        <v>32.491</v>
      </c>
      <c r="G56" s="22">
        <f t="shared" si="3"/>
        <v>49.115683546160135</v>
      </c>
      <c r="H56" s="45">
        <f t="shared" si="4"/>
        <v>0</v>
      </c>
      <c r="I56" s="42">
        <f t="shared" si="2"/>
        <v>49.115683546160135</v>
      </c>
      <c r="J56" s="30">
        <f t="shared" si="5"/>
        <v>310</v>
      </c>
      <c r="K56" s="195"/>
      <c r="L56" s="27">
        <f t="shared" si="0"/>
        <v>359.11568354616014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154779</v>
      </c>
      <c r="E57" s="1">
        <v>155368</v>
      </c>
      <c r="F57" s="41">
        <f>(E57-D57)*0.01</f>
        <v>5.89</v>
      </c>
      <c r="G57" s="22">
        <f t="shared" si="3"/>
        <v>8.9037387610994791</v>
      </c>
      <c r="H57" s="45">
        <f t="shared" si="4"/>
        <v>0</v>
      </c>
      <c r="I57" s="42">
        <f t="shared" si="2"/>
        <v>8.9037387610994791</v>
      </c>
      <c r="J57" s="30">
        <f t="shared" si="5"/>
        <v>310</v>
      </c>
      <c r="K57" s="195"/>
      <c r="L57" s="27">
        <f t="shared" si="0"/>
        <v>318.90373876109948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1892329</v>
      </c>
      <c r="E58" s="1">
        <v>1905017</v>
      </c>
      <c r="F58" s="41">
        <f t="shared" si="1"/>
        <v>12.688000000000001</v>
      </c>
      <c r="G58" s="22">
        <f t="shared" si="3"/>
        <v>19.180074261601053</v>
      </c>
      <c r="H58" s="45">
        <f t="shared" si="4"/>
        <v>0</v>
      </c>
      <c r="I58" s="42">
        <f t="shared" si="2"/>
        <v>19.180074261601053</v>
      </c>
      <c r="J58" s="30">
        <f t="shared" si="5"/>
        <v>310</v>
      </c>
      <c r="K58" s="195"/>
      <c r="L58" s="27">
        <f t="shared" si="0"/>
        <v>329.18007426160108</v>
      </c>
    </row>
    <row r="59" spans="1:12" ht="15" customHeight="1" x14ac:dyDescent="0.45">
      <c r="A59" s="318"/>
      <c r="B59" s="5" t="s">
        <v>5</v>
      </c>
      <c r="C59" s="2">
        <v>501</v>
      </c>
      <c r="D59" s="1">
        <v>2661702</v>
      </c>
      <c r="E59" s="1">
        <v>2697485</v>
      </c>
      <c r="F59" s="41">
        <f t="shared" si="1"/>
        <v>35.783000000000001</v>
      </c>
      <c r="G59" s="22">
        <f t="shared" si="3"/>
        <v>54.092102561701651</v>
      </c>
      <c r="H59" s="45">
        <f t="shared" si="4"/>
        <v>0</v>
      </c>
      <c r="I59" s="42">
        <f t="shared" si="2"/>
        <v>54.092102561701651</v>
      </c>
      <c r="J59" s="30">
        <f t="shared" si="5"/>
        <v>310</v>
      </c>
      <c r="K59" s="195"/>
      <c r="L59" s="27">
        <f t="shared" si="0"/>
        <v>364.09210256170167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3393889</v>
      </c>
      <c r="E60" s="1">
        <v>3405845</v>
      </c>
      <c r="F60" s="41">
        <f t="shared" si="1"/>
        <v>11.956</v>
      </c>
      <c r="G60" s="22">
        <f t="shared" si="3"/>
        <v>18.073531515739454</v>
      </c>
      <c r="H60" s="45">
        <f t="shared" si="4"/>
        <v>0</v>
      </c>
      <c r="I60" s="42">
        <f t="shared" si="2"/>
        <v>18.073531515739454</v>
      </c>
      <c r="J60" s="30">
        <f t="shared" si="5"/>
        <v>310</v>
      </c>
      <c r="K60" s="195"/>
      <c r="L60" s="27">
        <f t="shared" si="0"/>
        <v>328.07353151573943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4274411</v>
      </c>
      <c r="E61" s="1">
        <v>4302249</v>
      </c>
      <c r="F61" s="41">
        <f t="shared" si="1"/>
        <v>27.838000000000001</v>
      </c>
      <c r="G61" s="22">
        <f t="shared" si="3"/>
        <v>42.081881091933333</v>
      </c>
      <c r="H61" s="45">
        <f t="shared" si="4"/>
        <v>0</v>
      </c>
      <c r="I61" s="42">
        <f t="shared" si="2"/>
        <v>42.081881091933333</v>
      </c>
      <c r="J61" s="30">
        <f t="shared" si="5"/>
        <v>310</v>
      </c>
      <c r="K61" s="195"/>
      <c r="L61" s="27">
        <f t="shared" si="0"/>
        <v>352.08188109193333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2007559</v>
      </c>
      <c r="E62" s="1">
        <v>2025150</v>
      </c>
      <c r="F62" s="41">
        <f t="shared" si="1"/>
        <v>17.591000000000001</v>
      </c>
      <c r="G62" s="22">
        <f t="shared" si="3"/>
        <v>26.591794320288788</v>
      </c>
      <c r="H62" s="45">
        <f t="shared" si="4"/>
        <v>0</v>
      </c>
      <c r="I62" s="42">
        <f t="shared" si="2"/>
        <v>26.591794320288788</v>
      </c>
      <c r="J62" s="30">
        <f t="shared" si="5"/>
        <v>310</v>
      </c>
      <c r="K62" s="195"/>
      <c r="L62" s="27">
        <f t="shared" si="0"/>
        <v>336.59179432028878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4747289</v>
      </c>
      <c r="E63" s="1">
        <v>4761432</v>
      </c>
      <c r="F63" s="41">
        <f t="shared" si="1"/>
        <v>14.143000000000001</v>
      </c>
      <c r="G63" s="22">
        <f t="shared" si="3"/>
        <v>21.379554719563661</v>
      </c>
      <c r="H63" s="45">
        <f t="shared" si="4"/>
        <v>0</v>
      </c>
      <c r="I63" s="42">
        <f t="shared" si="2"/>
        <v>21.379554719563661</v>
      </c>
      <c r="J63" s="30">
        <f t="shared" si="5"/>
        <v>310</v>
      </c>
      <c r="K63" s="195"/>
      <c r="L63" s="27">
        <f t="shared" si="0"/>
        <v>331.37955471956366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4622254</v>
      </c>
      <c r="E64" s="1">
        <v>4625302</v>
      </c>
      <c r="F64" s="41">
        <f t="shared" si="1"/>
        <v>3.048</v>
      </c>
      <c r="G64" s="22">
        <f>MMULT($G$1,1/$F$183)*F64</f>
        <v>4.6075714335876432</v>
      </c>
      <c r="H64" s="45">
        <f t="shared" si="4"/>
        <v>0</v>
      </c>
      <c r="I64" s="42">
        <f t="shared" si="2"/>
        <v>4.6075714335876432</v>
      </c>
      <c r="J64" s="30">
        <f t="shared" si="5"/>
        <v>310</v>
      </c>
      <c r="K64" s="195"/>
      <c r="L64" s="27">
        <f t="shared" si="0"/>
        <v>314.60757143358762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3284998</v>
      </c>
      <c r="E65" s="1">
        <v>3300265</v>
      </c>
      <c r="F65" s="41">
        <f t="shared" si="1"/>
        <v>15.266999999999999</v>
      </c>
      <c r="G65" s="22">
        <f t="shared" si="3"/>
        <v>23.078672269219993</v>
      </c>
      <c r="H65" s="45">
        <f t="shared" si="4"/>
        <v>0</v>
      </c>
      <c r="I65" s="42">
        <f t="shared" si="2"/>
        <v>23.078672269219993</v>
      </c>
      <c r="J65" s="30">
        <f t="shared" si="5"/>
        <v>310</v>
      </c>
      <c r="K65" s="195"/>
      <c r="L65" s="27">
        <f>SUM(I65,J65,K65)</f>
        <v>333.07867226921996</v>
      </c>
    </row>
    <row r="66" spans="1:12" ht="15" customHeight="1" x14ac:dyDescent="0.45">
      <c r="A66" s="314"/>
      <c r="B66" s="237" t="s">
        <v>6</v>
      </c>
      <c r="C66" s="235">
        <v>104</v>
      </c>
      <c r="D66" s="1">
        <v>0</v>
      </c>
      <c r="E66" s="1">
        <v>14822</v>
      </c>
      <c r="F66" s="41">
        <f t="shared" si="1"/>
        <v>14.822000000000001</v>
      </c>
      <c r="G66" s="22">
        <f t="shared" si="3"/>
        <v>22.405978933279542</v>
      </c>
      <c r="H66" s="45">
        <f t="shared" si="4"/>
        <v>0</v>
      </c>
      <c r="I66" s="42">
        <f t="shared" si="2"/>
        <v>22.405978933279542</v>
      </c>
      <c r="J66" s="30">
        <f t="shared" si="5"/>
        <v>310</v>
      </c>
      <c r="K66" s="195"/>
      <c r="L66" s="27">
        <f t="shared" si="0"/>
        <v>332.40597893327953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4013322</v>
      </c>
      <c r="E67" s="1">
        <v>4022955</v>
      </c>
      <c r="F67" s="41">
        <f t="shared" si="1"/>
        <v>9.6330000000000009</v>
      </c>
      <c r="G67" s="22">
        <f t="shared" si="3"/>
        <v>14.561921135088506</v>
      </c>
      <c r="H67" s="45">
        <f t="shared" si="4"/>
        <v>0</v>
      </c>
      <c r="I67" s="42">
        <f t="shared" si="2"/>
        <v>14.561921135088506</v>
      </c>
      <c r="J67" s="30">
        <f t="shared" si="5"/>
        <v>310</v>
      </c>
      <c r="K67" s="195"/>
      <c r="L67" s="27">
        <f t="shared" si="0"/>
        <v>324.56192113508848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4076630</v>
      </c>
      <c r="E68" s="1">
        <v>4105285</v>
      </c>
      <c r="F68" s="41">
        <f t="shared" ref="F68:F89" si="6">(E68-D68)*$N$1</f>
        <v>28.655000000000001</v>
      </c>
      <c r="G68" s="22">
        <f t="shared" ref="G68:G131" si="7">MMULT($G$1,1/$F$183)*F68</f>
        <v>43.316915823311646</v>
      </c>
      <c r="H68" s="45">
        <f t="shared" ref="H68:H131" si="8">MMULT($H$1,1/180)</f>
        <v>0</v>
      </c>
      <c r="I68" s="42">
        <f t="shared" ref="I68:I131" si="9">SUM(G68,H68)</f>
        <v>43.316915823311646</v>
      </c>
      <c r="J68" s="30">
        <f t="shared" si="5"/>
        <v>310</v>
      </c>
      <c r="K68" s="195"/>
      <c r="L68" s="27">
        <f t="shared" ref="L68:L131" si="10">SUM(I68,J68,K68)</f>
        <v>353.31691582331166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2479565</v>
      </c>
      <c r="E69" s="1">
        <v>2481252</v>
      </c>
      <c r="F69" s="41">
        <f t="shared" si="6"/>
        <v>1.6870000000000001</v>
      </c>
      <c r="G69" s="22">
        <f t="shared" si="7"/>
        <v>2.5501879949023469</v>
      </c>
      <c r="H69" s="45">
        <f t="shared" si="8"/>
        <v>0</v>
      </c>
      <c r="I69" s="42">
        <f t="shared" si="9"/>
        <v>2.5501879949023469</v>
      </c>
      <c r="J69" s="30">
        <f t="shared" ref="J69:J132" si="11">SUM($J$3)</f>
        <v>310</v>
      </c>
      <c r="K69" s="195"/>
      <c r="L69" s="27">
        <f t="shared" si="10"/>
        <v>312.55018799490233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2343467</v>
      </c>
      <c r="E70" s="1">
        <v>2354263</v>
      </c>
      <c r="F70" s="41">
        <f t="shared" si="6"/>
        <v>10.795999999999999</v>
      </c>
      <c r="G70" s="22">
        <f t="shared" si="7"/>
        <v>16.319993831040744</v>
      </c>
      <c r="H70" s="45">
        <f t="shared" si="8"/>
        <v>0</v>
      </c>
      <c r="I70" s="42">
        <f t="shared" si="9"/>
        <v>16.319993831040744</v>
      </c>
      <c r="J70" s="30">
        <f t="shared" si="11"/>
        <v>310</v>
      </c>
      <c r="K70" s="195"/>
      <c r="L70" s="27">
        <f t="shared" si="10"/>
        <v>326.31999383104073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3811897</v>
      </c>
      <c r="E71" s="1">
        <v>3824842</v>
      </c>
      <c r="F71" s="41">
        <f t="shared" si="6"/>
        <v>12.945</v>
      </c>
      <c r="G71" s="22">
        <f t="shared" si="7"/>
        <v>19.568573558986888</v>
      </c>
      <c r="H71" s="45">
        <f t="shared" si="8"/>
        <v>0</v>
      </c>
      <c r="I71" s="42">
        <f t="shared" si="9"/>
        <v>19.568573558986888</v>
      </c>
      <c r="J71" s="30">
        <f t="shared" si="11"/>
        <v>310</v>
      </c>
      <c r="K71" s="195"/>
      <c r="L71" s="27">
        <f t="shared" si="10"/>
        <v>329.56857355898688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3005929</v>
      </c>
      <c r="E72" s="1">
        <v>3028352</v>
      </c>
      <c r="F72" s="41">
        <f t="shared" si="6"/>
        <v>22.423000000000002</v>
      </c>
      <c r="G72" s="22">
        <f t="shared" si="7"/>
        <v>33.896185779309619</v>
      </c>
      <c r="H72" s="45">
        <f t="shared" si="8"/>
        <v>0</v>
      </c>
      <c r="I72" s="42">
        <f t="shared" si="9"/>
        <v>33.896185779309619</v>
      </c>
      <c r="J72" s="30">
        <f t="shared" si="11"/>
        <v>310</v>
      </c>
      <c r="K72" s="195"/>
      <c r="L72" s="27">
        <f t="shared" si="10"/>
        <v>343.89618577930963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3420931</v>
      </c>
      <c r="E73" s="1">
        <v>3435607</v>
      </c>
      <c r="F73" s="41">
        <f t="shared" si="6"/>
        <v>14.676</v>
      </c>
      <c r="G73" s="22">
        <f t="shared" si="7"/>
        <v>22.18527505227436</v>
      </c>
      <c r="H73" s="45">
        <f t="shared" si="8"/>
        <v>0</v>
      </c>
      <c r="I73" s="42">
        <f t="shared" si="9"/>
        <v>22.18527505227436</v>
      </c>
      <c r="J73" s="30">
        <f t="shared" si="11"/>
        <v>310</v>
      </c>
      <c r="K73" s="195"/>
      <c r="L73" s="27">
        <f t="shared" si="10"/>
        <v>332.18527505227433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1427538</v>
      </c>
      <c r="E74" s="1">
        <v>1431423</v>
      </c>
      <c r="F74" s="41">
        <f t="shared" si="6"/>
        <v>3.8850000000000002</v>
      </c>
      <c r="G74" s="22">
        <f t="shared" si="7"/>
        <v>5.8728395733228327</v>
      </c>
      <c r="H74" s="45">
        <f t="shared" si="8"/>
        <v>0</v>
      </c>
      <c r="I74" s="42">
        <f t="shared" si="9"/>
        <v>5.8728395733228327</v>
      </c>
      <c r="J74" s="30">
        <f t="shared" si="11"/>
        <v>310</v>
      </c>
      <c r="K74" s="195"/>
      <c r="L74" s="27">
        <f t="shared" si="10"/>
        <v>315.87283957332284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4629289</v>
      </c>
      <c r="E75" s="1">
        <v>4652190</v>
      </c>
      <c r="F75" s="41">
        <f t="shared" si="6"/>
        <v>22.901</v>
      </c>
      <c r="G75" s="22">
        <f t="shared" si="7"/>
        <v>34.61876423903891</v>
      </c>
      <c r="H75" s="45">
        <f t="shared" si="8"/>
        <v>0</v>
      </c>
      <c r="I75" s="42">
        <f t="shared" si="9"/>
        <v>34.61876423903891</v>
      </c>
      <c r="J75" s="30">
        <f t="shared" si="11"/>
        <v>310</v>
      </c>
      <c r="K75" s="195"/>
      <c r="L75" s="27">
        <f t="shared" si="10"/>
        <v>344.61876423903891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2759831</v>
      </c>
      <c r="E76" s="1">
        <v>2780890</v>
      </c>
      <c r="F76" s="41">
        <f t="shared" si="6"/>
        <v>21.059000000000001</v>
      </c>
      <c r="G76" s="22">
        <f t="shared" si="7"/>
        <v>31.834267329370793</v>
      </c>
      <c r="H76" s="45">
        <f t="shared" si="8"/>
        <v>0</v>
      </c>
      <c r="I76" s="42">
        <f t="shared" si="9"/>
        <v>31.834267329370793</v>
      </c>
      <c r="J76" s="30">
        <f t="shared" si="11"/>
        <v>310</v>
      </c>
      <c r="K76" s="195"/>
      <c r="L76" s="27">
        <f t="shared" si="10"/>
        <v>341.83426732937079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2542878</v>
      </c>
      <c r="E77" s="1">
        <v>2571044</v>
      </c>
      <c r="F77" s="41">
        <f t="shared" si="6"/>
        <v>28.166</v>
      </c>
      <c r="G77" s="22">
        <f t="shared" si="7"/>
        <v>42.577708988986075</v>
      </c>
      <c r="H77" s="45">
        <f t="shared" si="8"/>
        <v>0</v>
      </c>
      <c r="I77" s="42">
        <f t="shared" si="9"/>
        <v>42.577708988986075</v>
      </c>
      <c r="J77" s="30">
        <f t="shared" si="11"/>
        <v>310</v>
      </c>
      <c r="K77" s="195"/>
      <c r="L77" s="27">
        <f t="shared" si="10"/>
        <v>352.57770898898605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2696676</v>
      </c>
      <c r="E78" s="1">
        <v>2708915</v>
      </c>
      <c r="F78" s="41">
        <f t="shared" si="6"/>
        <v>12.239000000000001</v>
      </c>
      <c r="G78" s="22">
        <f t="shared" si="7"/>
        <v>18.501334243989227</v>
      </c>
      <c r="H78" s="45">
        <f t="shared" si="8"/>
        <v>0</v>
      </c>
      <c r="I78" s="42">
        <f t="shared" si="9"/>
        <v>18.501334243989227</v>
      </c>
      <c r="J78" s="30">
        <f t="shared" si="11"/>
        <v>310</v>
      </c>
      <c r="K78" s="195"/>
      <c r="L78" s="27">
        <f t="shared" si="10"/>
        <v>328.50133424398922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4512589</v>
      </c>
      <c r="E79" s="1">
        <v>4533499</v>
      </c>
      <c r="F79" s="41">
        <f t="shared" si="6"/>
        <v>20.91</v>
      </c>
      <c r="G79" s="22">
        <f t="shared" si="7"/>
        <v>31.609028437112077</v>
      </c>
      <c r="H79" s="45">
        <f t="shared" si="8"/>
        <v>0</v>
      </c>
      <c r="I79" s="42">
        <f t="shared" si="9"/>
        <v>31.609028437112077</v>
      </c>
      <c r="J79" s="30">
        <f t="shared" si="11"/>
        <v>310</v>
      </c>
      <c r="K79" s="195"/>
      <c r="L79" s="27">
        <f t="shared" si="10"/>
        <v>341.6090284371121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4815257</v>
      </c>
      <c r="E80" s="1">
        <v>4833933</v>
      </c>
      <c r="F80" s="41">
        <f t="shared" si="6"/>
        <v>18.676000000000002</v>
      </c>
      <c r="G80" s="22">
        <f t="shared" si="7"/>
        <v>28.231956723649219</v>
      </c>
      <c r="H80" s="45">
        <f t="shared" si="8"/>
        <v>0</v>
      </c>
      <c r="I80" s="42">
        <f t="shared" si="9"/>
        <v>28.231956723649219</v>
      </c>
      <c r="J80" s="30">
        <f t="shared" si="11"/>
        <v>310</v>
      </c>
      <c r="K80" s="195"/>
      <c r="L80" s="27">
        <f t="shared" si="10"/>
        <v>338.2319567236492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3097238</v>
      </c>
      <c r="E81" s="1">
        <v>3101735</v>
      </c>
      <c r="F81" s="41">
        <f t="shared" si="6"/>
        <v>4.4969999999999999</v>
      </c>
      <c r="G81" s="22">
        <f t="shared" si="7"/>
        <v>6.797981869043185</v>
      </c>
      <c r="H81" s="45">
        <f t="shared" si="8"/>
        <v>0</v>
      </c>
      <c r="I81" s="42">
        <f t="shared" si="9"/>
        <v>6.797981869043185</v>
      </c>
      <c r="J81" s="30">
        <f t="shared" si="11"/>
        <v>310</v>
      </c>
      <c r="K81" s="195"/>
      <c r="L81" s="27">
        <f t="shared" si="10"/>
        <v>316.79798186904321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3333781</v>
      </c>
      <c r="E82" s="1">
        <v>3355990</v>
      </c>
      <c r="F82" s="41">
        <f t="shared" si="6"/>
        <v>22.209</v>
      </c>
      <c r="G82" s="22">
        <f t="shared" si="7"/>
        <v>33.572688309891063</v>
      </c>
      <c r="H82" s="45">
        <f t="shared" si="8"/>
        <v>0</v>
      </c>
      <c r="I82" s="42">
        <f t="shared" si="9"/>
        <v>33.572688309891063</v>
      </c>
      <c r="J82" s="30">
        <f t="shared" si="11"/>
        <v>310</v>
      </c>
      <c r="K82" s="195"/>
      <c r="L82" s="27">
        <f t="shared" si="10"/>
        <v>343.57268830989108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4595419</v>
      </c>
      <c r="E83" s="1">
        <v>4630667</v>
      </c>
      <c r="F83" s="41">
        <f t="shared" si="6"/>
        <v>35.247999999999998</v>
      </c>
      <c r="G83" s="22">
        <f t="shared" si="7"/>
        <v>53.283358888155256</v>
      </c>
      <c r="H83" s="45">
        <f t="shared" si="8"/>
        <v>0</v>
      </c>
      <c r="I83" s="42">
        <f t="shared" si="9"/>
        <v>53.283358888155256</v>
      </c>
      <c r="J83" s="30">
        <f t="shared" si="11"/>
        <v>310</v>
      </c>
      <c r="K83" s="195"/>
      <c r="L83" s="27">
        <f t="shared" si="10"/>
        <v>363.28335888815525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1726767</v>
      </c>
      <c r="E84" s="1">
        <v>1746894</v>
      </c>
      <c r="F84" s="41">
        <f t="shared" si="6"/>
        <v>20.126999999999999</v>
      </c>
      <c r="G84" s="22">
        <f t="shared" si="7"/>
        <v>30.425390499940445</v>
      </c>
      <c r="H84" s="45">
        <f t="shared" si="8"/>
        <v>0</v>
      </c>
      <c r="I84" s="42">
        <f t="shared" si="9"/>
        <v>30.425390499940445</v>
      </c>
      <c r="J84" s="30">
        <f t="shared" si="11"/>
        <v>310</v>
      </c>
      <c r="K84" s="195"/>
      <c r="L84" s="27">
        <f t="shared" si="10"/>
        <v>340.42539049994042</v>
      </c>
    </row>
    <row r="85" spans="1:12" ht="15" customHeight="1" x14ac:dyDescent="0.45">
      <c r="A85" s="318"/>
      <c r="B85" s="5" t="s">
        <v>7</v>
      </c>
      <c r="C85" s="2">
        <v>103</v>
      </c>
      <c r="D85" s="1">
        <v>2988569</v>
      </c>
      <c r="E85" s="1">
        <v>2992637</v>
      </c>
      <c r="F85" s="41">
        <f t="shared" si="6"/>
        <v>4.0680000000000005</v>
      </c>
      <c r="G85" s="22">
        <f t="shared" si="7"/>
        <v>6.1494752597882325</v>
      </c>
      <c r="H85" s="45">
        <f t="shared" si="8"/>
        <v>0</v>
      </c>
      <c r="I85" s="42">
        <f t="shared" si="9"/>
        <v>6.1494752597882325</v>
      </c>
      <c r="J85" s="30">
        <f t="shared" si="11"/>
        <v>310</v>
      </c>
      <c r="K85" s="195"/>
      <c r="L85" s="27">
        <f t="shared" si="10"/>
        <v>316.14947525978823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2528975</v>
      </c>
      <c r="E86" s="1">
        <v>2542160</v>
      </c>
      <c r="F86" s="41">
        <f t="shared" si="6"/>
        <v>13.185</v>
      </c>
      <c r="G86" s="22">
        <f t="shared" si="7"/>
        <v>19.931374459269382</v>
      </c>
      <c r="H86" s="45">
        <f t="shared" si="8"/>
        <v>0</v>
      </c>
      <c r="I86" s="42">
        <f t="shared" si="9"/>
        <v>19.931374459269382</v>
      </c>
      <c r="J86" s="30">
        <f t="shared" si="11"/>
        <v>310</v>
      </c>
      <c r="K86" s="195"/>
      <c r="L86" s="27">
        <f t="shared" si="10"/>
        <v>329.93137445926936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5036161</v>
      </c>
      <c r="E87" s="1">
        <v>5061247</v>
      </c>
      <c r="F87" s="41">
        <f t="shared" si="6"/>
        <v>25.086000000000002</v>
      </c>
      <c r="G87" s="22">
        <f t="shared" si="7"/>
        <v>37.921764102027431</v>
      </c>
      <c r="H87" s="45">
        <f t="shared" si="8"/>
        <v>0</v>
      </c>
      <c r="I87" s="42">
        <f t="shared" si="9"/>
        <v>37.921764102027431</v>
      </c>
      <c r="J87" s="30">
        <f t="shared" si="11"/>
        <v>310</v>
      </c>
      <c r="K87" s="195"/>
      <c r="L87" s="27">
        <f t="shared" si="10"/>
        <v>347.92176410202745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27444</v>
      </c>
      <c r="E88" s="1">
        <v>27444</v>
      </c>
      <c r="F88" s="41">
        <f>(E88-D88)*0.01</f>
        <v>0</v>
      </c>
      <c r="G88" s="22">
        <f t="shared" si="7"/>
        <v>0</v>
      </c>
      <c r="H88" s="45">
        <f t="shared" si="8"/>
        <v>0</v>
      </c>
      <c r="I88" s="42">
        <f t="shared" si="9"/>
        <v>0</v>
      </c>
      <c r="J88" s="30">
        <f t="shared" si="11"/>
        <v>310</v>
      </c>
      <c r="K88" s="195"/>
      <c r="L88" s="27">
        <f t="shared" si="10"/>
        <v>310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4302572</v>
      </c>
      <c r="E89" s="1">
        <v>4336579</v>
      </c>
      <c r="F89" s="41">
        <f t="shared" si="6"/>
        <v>34.006999999999998</v>
      </c>
      <c r="G89" s="22">
        <f t="shared" si="7"/>
        <v>51.407375899611203</v>
      </c>
      <c r="H89" s="45">
        <f t="shared" si="8"/>
        <v>0</v>
      </c>
      <c r="I89" s="42">
        <f t="shared" si="9"/>
        <v>51.407375899611203</v>
      </c>
      <c r="J89" s="30">
        <f t="shared" si="11"/>
        <v>310</v>
      </c>
      <c r="K89" s="195"/>
      <c r="L89" s="27">
        <f t="shared" si="10"/>
        <v>361.40737589961122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133010</v>
      </c>
      <c r="E90" s="1">
        <v>133021</v>
      </c>
      <c r="F90" s="41">
        <f>(E90-D90)*0.01</f>
        <v>0.11</v>
      </c>
      <c r="G90" s="22">
        <f t="shared" si="7"/>
        <v>0.16628374596280862</v>
      </c>
      <c r="H90" s="45">
        <f t="shared" si="8"/>
        <v>0</v>
      </c>
      <c r="I90" s="42">
        <f t="shared" si="9"/>
        <v>0.16628374596280862</v>
      </c>
      <c r="J90" s="30">
        <f t="shared" si="11"/>
        <v>310</v>
      </c>
      <c r="K90" s="195"/>
      <c r="L90" s="27">
        <f t="shared" si="10"/>
        <v>310.1662837459628</v>
      </c>
    </row>
    <row r="91" spans="1:12" ht="15" customHeight="1" x14ac:dyDescent="0.45">
      <c r="A91" s="318"/>
      <c r="B91" s="5" t="s">
        <v>7</v>
      </c>
      <c r="C91" s="2">
        <v>301</v>
      </c>
      <c r="D91" s="1">
        <v>4883923</v>
      </c>
      <c r="E91" s="1">
        <v>4910673</v>
      </c>
      <c r="F91" s="41">
        <f t="shared" ref="F91:F123" si="12">(E91-D91)*$N$1</f>
        <v>26.75</v>
      </c>
      <c r="G91" s="22">
        <f t="shared" si="7"/>
        <v>40.437183677319368</v>
      </c>
      <c r="H91" s="45">
        <f t="shared" si="8"/>
        <v>0</v>
      </c>
      <c r="I91" s="42">
        <f t="shared" si="9"/>
        <v>40.437183677319368</v>
      </c>
      <c r="J91" s="30">
        <f t="shared" si="11"/>
        <v>310</v>
      </c>
      <c r="K91" s="195"/>
      <c r="L91" s="27">
        <f t="shared" si="10"/>
        <v>350.43718367731935</v>
      </c>
    </row>
    <row r="92" spans="1:12" ht="15" customHeight="1" x14ac:dyDescent="0.45">
      <c r="A92" s="318"/>
      <c r="B92" s="5" t="s">
        <v>7</v>
      </c>
      <c r="C92" s="2">
        <v>302</v>
      </c>
      <c r="D92" s="1">
        <v>3280286</v>
      </c>
      <c r="E92" s="1">
        <v>3318775</v>
      </c>
      <c r="F92" s="41">
        <f t="shared" si="12"/>
        <v>38.489000000000004</v>
      </c>
      <c r="G92" s="22">
        <f t="shared" si="7"/>
        <v>58.182682712386743</v>
      </c>
      <c r="H92" s="45">
        <f t="shared" si="8"/>
        <v>0</v>
      </c>
      <c r="I92" s="42">
        <f t="shared" si="9"/>
        <v>58.182682712386743</v>
      </c>
      <c r="J92" s="30">
        <f t="shared" si="11"/>
        <v>310</v>
      </c>
      <c r="K92" s="195"/>
      <c r="L92" s="27">
        <f t="shared" si="10"/>
        <v>368.18268271238674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4507735</v>
      </c>
      <c r="E93" s="1">
        <v>4551273</v>
      </c>
      <c r="F93" s="41">
        <f t="shared" si="12"/>
        <v>43.538000000000004</v>
      </c>
      <c r="G93" s="22">
        <f t="shared" si="7"/>
        <v>65.815106652079663</v>
      </c>
      <c r="H93" s="45">
        <f t="shared" si="8"/>
        <v>0</v>
      </c>
      <c r="I93" s="42">
        <f t="shared" si="9"/>
        <v>65.815106652079663</v>
      </c>
      <c r="J93" s="30">
        <f t="shared" si="11"/>
        <v>310</v>
      </c>
      <c r="K93" s="195"/>
      <c r="L93" s="27">
        <f t="shared" si="10"/>
        <v>375.81510665207963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2404304</v>
      </c>
      <c r="E94" s="1">
        <v>2415623</v>
      </c>
      <c r="F94" s="41">
        <f t="shared" si="12"/>
        <v>11.319000000000001</v>
      </c>
      <c r="G94" s="22">
        <f t="shared" si="7"/>
        <v>17.110597459573007</v>
      </c>
      <c r="H94" s="45">
        <f t="shared" si="8"/>
        <v>0</v>
      </c>
      <c r="I94" s="42">
        <f t="shared" si="9"/>
        <v>17.110597459573007</v>
      </c>
      <c r="J94" s="30">
        <f t="shared" si="11"/>
        <v>310</v>
      </c>
      <c r="K94" s="195"/>
      <c r="L94" s="27">
        <f t="shared" si="10"/>
        <v>327.110597459573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3716814</v>
      </c>
      <c r="E95" s="1">
        <v>3737164</v>
      </c>
      <c r="F95" s="41">
        <f t="shared" si="12"/>
        <v>20.350000000000001</v>
      </c>
      <c r="G95" s="22">
        <f t="shared" si="7"/>
        <v>30.762493003119598</v>
      </c>
      <c r="H95" s="45">
        <f t="shared" si="8"/>
        <v>0</v>
      </c>
      <c r="I95" s="42">
        <f t="shared" si="9"/>
        <v>30.762493003119598</v>
      </c>
      <c r="J95" s="30">
        <f t="shared" si="11"/>
        <v>310</v>
      </c>
      <c r="K95" s="195"/>
      <c r="L95" s="27">
        <f t="shared" si="10"/>
        <v>340.76249300311957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3200721</v>
      </c>
      <c r="E96" s="1">
        <v>3216615</v>
      </c>
      <c r="F96" s="41">
        <f t="shared" si="12"/>
        <v>15.894</v>
      </c>
      <c r="G96" s="22">
        <f t="shared" si="7"/>
        <v>24.026489621208004</v>
      </c>
      <c r="H96" s="45">
        <f t="shared" si="8"/>
        <v>0</v>
      </c>
      <c r="I96" s="42">
        <f t="shared" si="9"/>
        <v>24.026489621208004</v>
      </c>
      <c r="J96" s="30">
        <f t="shared" si="11"/>
        <v>310</v>
      </c>
      <c r="K96" s="195"/>
      <c r="L96" s="27">
        <f t="shared" si="10"/>
        <v>334.02648962120799</v>
      </c>
    </row>
    <row r="97" spans="1:12" ht="15" customHeight="1" x14ac:dyDescent="0.45">
      <c r="A97" s="318"/>
      <c r="B97" s="5" t="s">
        <v>7</v>
      </c>
      <c r="C97" s="2">
        <v>403</v>
      </c>
      <c r="D97" s="1">
        <v>2952697</v>
      </c>
      <c r="E97" s="1">
        <v>2962300</v>
      </c>
      <c r="F97" s="41">
        <f t="shared" si="12"/>
        <v>9.6029999999999998</v>
      </c>
      <c r="G97" s="22">
        <f t="shared" si="7"/>
        <v>14.516571022553192</v>
      </c>
      <c r="H97" s="45">
        <f t="shared" si="8"/>
        <v>0</v>
      </c>
      <c r="I97" s="42">
        <f t="shared" si="9"/>
        <v>14.516571022553192</v>
      </c>
      <c r="J97" s="30">
        <f t="shared" si="11"/>
        <v>310</v>
      </c>
      <c r="K97" s="195"/>
      <c r="L97" s="27">
        <f t="shared" si="10"/>
        <v>324.51657102255319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3092055</v>
      </c>
      <c r="E98" s="1">
        <v>3102207</v>
      </c>
      <c r="F98" s="41">
        <f t="shared" si="12"/>
        <v>10.152000000000001</v>
      </c>
      <c r="G98" s="22">
        <f t="shared" si="7"/>
        <v>15.346478081949394</v>
      </c>
      <c r="H98" s="45">
        <f t="shared" si="8"/>
        <v>0</v>
      </c>
      <c r="I98" s="42">
        <f t="shared" si="9"/>
        <v>15.346478081949394</v>
      </c>
      <c r="J98" s="30">
        <f t="shared" si="11"/>
        <v>310</v>
      </c>
      <c r="K98" s="195"/>
      <c r="L98" s="27">
        <f t="shared" si="10"/>
        <v>325.34647808194939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2684863</v>
      </c>
      <c r="E99" s="1">
        <v>2699805</v>
      </c>
      <c r="F99" s="41">
        <f t="shared" si="12"/>
        <v>14.942</v>
      </c>
      <c r="G99" s="22">
        <f t="shared" si="7"/>
        <v>22.587379383420785</v>
      </c>
      <c r="H99" s="45">
        <f t="shared" si="8"/>
        <v>0</v>
      </c>
      <c r="I99" s="42">
        <f t="shared" si="9"/>
        <v>22.587379383420785</v>
      </c>
      <c r="J99" s="30">
        <f t="shared" si="11"/>
        <v>310</v>
      </c>
      <c r="K99" s="195"/>
      <c r="L99" s="27">
        <f t="shared" si="10"/>
        <v>332.5873793834208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2463017</v>
      </c>
      <c r="E100" s="1">
        <v>2483537</v>
      </c>
      <c r="F100" s="41">
        <f t="shared" si="12"/>
        <v>20.52</v>
      </c>
      <c r="G100" s="22">
        <f t="shared" si="7"/>
        <v>31.019476974153026</v>
      </c>
      <c r="H100" s="45">
        <f t="shared" si="8"/>
        <v>0</v>
      </c>
      <c r="I100" s="42">
        <f t="shared" si="9"/>
        <v>31.019476974153026</v>
      </c>
      <c r="J100" s="30">
        <f t="shared" si="11"/>
        <v>310</v>
      </c>
      <c r="K100" s="195"/>
      <c r="L100" s="27">
        <f t="shared" si="10"/>
        <v>341.01947697415301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3017784</v>
      </c>
      <c r="E101" s="1">
        <v>3037891</v>
      </c>
      <c r="F101" s="41">
        <f t="shared" si="12"/>
        <v>20.106999999999999</v>
      </c>
      <c r="G101" s="22">
        <f t="shared" si="7"/>
        <v>30.395157091583574</v>
      </c>
      <c r="H101" s="45">
        <f t="shared" si="8"/>
        <v>0</v>
      </c>
      <c r="I101" s="42">
        <f t="shared" si="9"/>
        <v>30.395157091583574</v>
      </c>
      <c r="J101" s="30">
        <f t="shared" si="11"/>
        <v>310</v>
      </c>
      <c r="K101" s="195"/>
      <c r="L101" s="27">
        <f t="shared" si="10"/>
        <v>340.3951570915836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3984471</v>
      </c>
      <c r="E102" s="1">
        <v>4008184</v>
      </c>
      <c r="F102" s="41">
        <f t="shared" si="12"/>
        <v>23.713000000000001</v>
      </c>
      <c r="G102" s="22">
        <f t="shared" si="7"/>
        <v>35.846240618328011</v>
      </c>
      <c r="H102" s="45">
        <f t="shared" si="8"/>
        <v>0</v>
      </c>
      <c r="I102" s="42">
        <f t="shared" si="9"/>
        <v>35.846240618328011</v>
      </c>
      <c r="J102" s="30">
        <f t="shared" si="11"/>
        <v>310</v>
      </c>
      <c r="K102" s="195"/>
      <c r="L102" s="27">
        <f t="shared" si="10"/>
        <v>345.84624061832801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3616047</v>
      </c>
      <c r="E103" s="1">
        <v>3642296</v>
      </c>
      <c r="F103" s="41">
        <f t="shared" si="12"/>
        <v>26.248999999999999</v>
      </c>
      <c r="G103" s="22">
        <f>MMULT($G$1,1/$F$183)*F103</f>
        <v>39.679836797979668</v>
      </c>
      <c r="H103" s="45">
        <f t="shared" si="8"/>
        <v>0</v>
      </c>
      <c r="I103" s="42">
        <f>SUM(G103,H103)</f>
        <v>39.679836797979668</v>
      </c>
      <c r="J103" s="30">
        <f t="shared" si="11"/>
        <v>310</v>
      </c>
      <c r="K103" s="195"/>
      <c r="L103" s="27">
        <f>SUM(I103,J103,K103)</f>
        <v>349.67983679797965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139075</v>
      </c>
      <c r="E104" s="1">
        <v>141416</v>
      </c>
      <c r="F104" s="41">
        <f>(E104-D104)*0.01</f>
        <v>23.41</v>
      </c>
      <c r="G104" s="22">
        <f t="shared" si="7"/>
        <v>35.388204481721367</v>
      </c>
      <c r="H104" s="45">
        <f t="shared" si="8"/>
        <v>0</v>
      </c>
      <c r="I104" s="42">
        <f t="shared" si="9"/>
        <v>35.388204481721367</v>
      </c>
      <c r="J104" s="30">
        <f t="shared" si="11"/>
        <v>310</v>
      </c>
      <c r="K104" s="195"/>
      <c r="L104" s="27">
        <f t="shared" si="10"/>
        <v>345.38820448172135</v>
      </c>
    </row>
    <row r="105" spans="1:12" ht="15" customHeight="1" x14ac:dyDescent="0.45">
      <c r="A105" s="314"/>
      <c r="B105" s="237" t="s">
        <v>8</v>
      </c>
      <c r="C105" s="235">
        <v>103</v>
      </c>
      <c r="D105" s="1">
        <v>0</v>
      </c>
      <c r="E105" s="1">
        <v>13289</v>
      </c>
      <c r="F105" s="41">
        <f t="shared" si="12"/>
        <v>13.289</v>
      </c>
      <c r="G105" s="22">
        <f t="shared" si="7"/>
        <v>20.088588182725125</v>
      </c>
      <c r="H105" s="45">
        <f t="shared" si="8"/>
        <v>0</v>
      </c>
      <c r="I105" s="42">
        <f t="shared" si="9"/>
        <v>20.088588182725125</v>
      </c>
      <c r="J105" s="30">
        <f t="shared" si="11"/>
        <v>310</v>
      </c>
      <c r="K105" s="195"/>
      <c r="L105" s="27">
        <f t="shared" si="10"/>
        <v>330.08858818272512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438404</v>
      </c>
      <c r="E106" s="1">
        <v>438861</v>
      </c>
      <c r="F106" s="41">
        <f t="shared" si="12"/>
        <v>0.45700000000000002</v>
      </c>
      <c r="G106" s="22">
        <f t="shared" si="7"/>
        <v>0.69083338095457769</v>
      </c>
      <c r="H106" s="45">
        <f t="shared" si="8"/>
        <v>0</v>
      </c>
      <c r="I106" s="42">
        <f t="shared" si="9"/>
        <v>0.69083338095457769</v>
      </c>
      <c r="J106" s="30">
        <f t="shared" si="11"/>
        <v>310</v>
      </c>
      <c r="K106" s="195"/>
      <c r="L106" s="27">
        <f t="shared" si="10"/>
        <v>310.69083338095459</v>
      </c>
    </row>
    <row r="107" spans="1:12" ht="15" customHeight="1" x14ac:dyDescent="0.45">
      <c r="A107" s="314"/>
      <c r="B107" s="237" t="s">
        <v>8</v>
      </c>
      <c r="C107" s="235">
        <v>201</v>
      </c>
      <c r="D107" s="1">
        <v>0</v>
      </c>
      <c r="E107" s="1">
        <v>2000</v>
      </c>
      <c r="F107" s="41">
        <f t="shared" si="12"/>
        <v>2</v>
      </c>
      <c r="G107" s="22">
        <f t="shared" si="7"/>
        <v>3.0233408356874296</v>
      </c>
      <c r="H107" s="45">
        <f t="shared" si="8"/>
        <v>0</v>
      </c>
      <c r="I107" s="42">
        <f t="shared" si="9"/>
        <v>3.0233408356874296</v>
      </c>
      <c r="J107" s="30">
        <f t="shared" si="11"/>
        <v>310</v>
      </c>
      <c r="K107" s="195"/>
      <c r="L107" s="27">
        <f t="shared" si="10"/>
        <v>313.02334083568741</v>
      </c>
    </row>
    <row r="108" spans="1:12" ht="15" customHeight="1" x14ac:dyDescent="0.45">
      <c r="A108" s="314"/>
      <c r="B108" s="237" t="s">
        <v>8</v>
      </c>
      <c r="C108" s="235">
        <v>202</v>
      </c>
      <c r="D108" s="1">
        <v>0</v>
      </c>
      <c r="E108" s="1">
        <v>22161</v>
      </c>
      <c r="F108" s="41">
        <f t="shared" si="12"/>
        <v>22.161000000000001</v>
      </c>
      <c r="G108" s="22">
        <f t="shared" si="7"/>
        <v>33.500128129834565</v>
      </c>
      <c r="H108" s="45">
        <f t="shared" si="8"/>
        <v>0</v>
      </c>
      <c r="I108" s="42">
        <f t="shared" si="9"/>
        <v>33.500128129834565</v>
      </c>
      <c r="J108" s="30">
        <f t="shared" si="11"/>
        <v>310</v>
      </c>
      <c r="K108" s="195"/>
      <c r="L108" s="27">
        <f t="shared" si="10"/>
        <v>343.50012812983459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3528852</v>
      </c>
      <c r="E109" s="1">
        <v>3532809</v>
      </c>
      <c r="F109" s="41">
        <f t="shared" si="12"/>
        <v>3.9570000000000003</v>
      </c>
      <c r="G109" s="22">
        <f t="shared" si="7"/>
        <v>5.98167984340758</v>
      </c>
      <c r="H109" s="45">
        <f t="shared" si="8"/>
        <v>0</v>
      </c>
      <c r="I109" s="42">
        <f t="shared" si="9"/>
        <v>5.98167984340758</v>
      </c>
      <c r="J109" s="30">
        <f t="shared" si="11"/>
        <v>310</v>
      </c>
      <c r="K109" s="195"/>
      <c r="L109" s="27">
        <f t="shared" si="10"/>
        <v>315.98167984340756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1821613</v>
      </c>
      <c r="E110" s="1">
        <v>1835021</v>
      </c>
      <c r="F110" s="41">
        <f t="shared" si="12"/>
        <v>13.407999999999999</v>
      </c>
      <c r="G110" s="22">
        <f t="shared" si="7"/>
        <v>20.268476962448528</v>
      </c>
      <c r="H110" s="45">
        <f t="shared" si="8"/>
        <v>0</v>
      </c>
      <c r="I110" s="42">
        <f t="shared" si="9"/>
        <v>20.268476962448528</v>
      </c>
      <c r="J110" s="30">
        <f t="shared" si="11"/>
        <v>310</v>
      </c>
      <c r="K110" s="195"/>
      <c r="L110" s="27">
        <f t="shared" si="10"/>
        <v>330.26847696244852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3571881</v>
      </c>
      <c r="E111" s="1">
        <v>3587131</v>
      </c>
      <c r="F111" s="41">
        <f t="shared" si="12"/>
        <v>15.25</v>
      </c>
      <c r="G111" s="22">
        <f t="shared" si="7"/>
        <v>23.052973872116652</v>
      </c>
      <c r="H111" s="45">
        <f t="shared" si="8"/>
        <v>0</v>
      </c>
      <c r="I111" s="42">
        <f t="shared" si="9"/>
        <v>23.052973872116652</v>
      </c>
      <c r="J111" s="30">
        <f t="shared" si="11"/>
        <v>310</v>
      </c>
      <c r="K111" s="195"/>
      <c r="L111" s="27">
        <f t="shared" si="10"/>
        <v>333.05297387211664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3283899</v>
      </c>
      <c r="E112" s="1">
        <v>3295501</v>
      </c>
      <c r="F112" s="41">
        <f t="shared" si="12"/>
        <v>11.602</v>
      </c>
      <c r="G112" s="22">
        <f t="shared" si="7"/>
        <v>17.538400187822781</v>
      </c>
      <c r="H112" s="45">
        <f t="shared" si="8"/>
        <v>0</v>
      </c>
      <c r="I112" s="42">
        <f t="shared" si="9"/>
        <v>17.538400187822781</v>
      </c>
      <c r="J112" s="30">
        <f t="shared" si="11"/>
        <v>310</v>
      </c>
      <c r="K112" s="195"/>
      <c r="L112" s="27">
        <f t="shared" si="10"/>
        <v>327.53840018782279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3492623</v>
      </c>
      <c r="E113" s="1">
        <v>3518255</v>
      </c>
      <c r="F113" s="41">
        <f t="shared" si="12"/>
        <v>25.632000000000001</v>
      </c>
      <c r="G113" s="22">
        <f t="shared" si="7"/>
        <v>38.7471361501701</v>
      </c>
      <c r="H113" s="45">
        <f t="shared" si="8"/>
        <v>0</v>
      </c>
      <c r="I113" s="42">
        <f t="shared" si="9"/>
        <v>38.7471361501701</v>
      </c>
      <c r="J113" s="30">
        <f t="shared" si="11"/>
        <v>310</v>
      </c>
      <c r="K113" s="195"/>
      <c r="L113" s="27">
        <f t="shared" si="10"/>
        <v>348.74713615017009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2690459</v>
      </c>
      <c r="E114" s="1">
        <v>2702051</v>
      </c>
      <c r="F114" s="41">
        <f t="shared" si="12"/>
        <v>11.592000000000001</v>
      </c>
      <c r="G114" s="22">
        <f t="shared" si="7"/>
        <v>17.523283483644342</v>
      </c>
      <c r="H114" s="45">
        <f t="shared" si="8"/>
        <v>0</v>
      </c>
      <c r="I114" s="42">
        <f t="shared" si="9"/>
        <v>17.523283483644342</v>
      </c>
      <c r="J114" s="30">
        <f t="shared" si="11"/>
        <v>310</v>
      </c>
      <c r="K114" s="195"/>
      <c r="L114" s="27">
        <f t="shared" si="10"/>
        <v>327.52328348364432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2702420</v>
      </c>
      <c r="E115" s="1">
        <v>2716620</v>
      </c>
      <c r="F115" s="41">
        <f t="shared" si="12"/>
        <v>14.200000000000001</v>
      </c>
      <c r="G115" s="22">
        <f t="shared" si="7"/>
        <v>21.46571993338075</v>
      </c>
      <c r="H115" s="45">
        <f t="shared" si="8"/>
        <v>0</v>
      </c>
      <c r="I115" s="42">
        <f t="shared" si="9"/>
        <v>21.46571993338075</v>
      </c>
      <c r="J115" s="30">
        <f t="shared" si="11"/>
        <v>310</v>
      </c>
      <c r="K115" s="195"/>
      <c r="L115" s="27">
        <f t="shared" si="10"/>
        <v>331.46571993338074</v>
      </c>
    </row>
    <row r="116" spans="1:12" ht="15" customHeight="1" x14ac:dyDescent="0.45">
      <c r="A116" s="314"/>
      <c r="B116" s="237" t="s">
        <v>8</v>
      </c>
      <c r="C116" s="235">
        <v>402</v>
      </c>
      <c r="D116" s="1">
        <v>0</v>
      </c>
      <c r="E116" s="1">
        <v>2222</v>
      </c>
      <c r="F116" s="41">
        <f t="shared" si="12"/>
        <v>2.222</v>
      </c>
      <c r="G116" s="22">
        <f t="shared" si="7"/>
        <v>3.3589316684487343</v>
      </c>
      <c r="H116" s="45">
        <f t="shared" si="8"/>
        <v>0</v>
      </c>
      <c r="I116" s="42">
        <f t="shared" si="9"/>
        <v>3.3589316684487343</v>
      </c>
      <c r="J116" s="30">
        <f t="shared" si="11"/>
        <v>310</v>
      </c>
      <c r="K116" s="195"/>
      <c r="L116" s="27">
        <f t="shared" si="10"/>
        <v>313.35893166844875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523955</v>
      </c>
      <c r="E117" s="1">
        <v>525648</v>
      </c>
      <c r="F117" s="41">
        <f t="shared" si="12"/>
        <v>1.6930000000000001</v>
      </c>
      <c r="G117" s="22">
        <f t="shared" si="7"/>
        <v>2.5592580174094093</v>
      </c>
      <c r="H117" s="45">
        <f t="shared" si="8"/>
        <v>0</v>
      </c>
      <c r="I117" s="42">
        <f t="shared" si="9"/>
        <v>2.5592580174094093</v>
      </c>
      <c r="J117" s="30">
        <f t="shared" si="11"/>
        <v>310</v>
      </c>
      <c r="K117" s="195"/>
      <c r="L117" s="27">
        <f t="shared" si="10"/>
        <v>312.55925801740943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2647432</v>
      </c>
      <c r="E118" s="1">
        <v>2652828</v>
      </c>
      <c r="F118" s="41">
        <f t="shared" si="12"/>
        <v>5.3959999999999999</v>
      </c>
      <c r="G118" s="22">
        <f t="shared" si="7"/>
        <v>8.1569735746846845</v>
      </c>
      <c r="H118" s="45">
        <f t="shared" si="8"/>
        <v>0</v>
      </c>
      <c r="I118" s="42">
        <f t="shared" si="9"/>
        <v>8.1569735746846845</v>
      </c>
      <c r="J118" s="30">
        <f t="shared" si="11"/>
        <v>310</v>
      </c>
      <c r="K118" s="195"/>
      <c r="L118" s="27">
        <f t="shared" si="10"/>
        <v>318.15697357468468</v>
      </c>
    </row>
    <row r="119" spans="1:12" ht="15" customHeight="1" x14ac:dyDescent="0.45">
      <c r="A119" s="314"/>
      <c r="B119" s="5" t="s">
        <v>8</v>
      </c>
      <c r="C119" s="2">
        <v>501</v>
      </c>
      <c r="D119" s="236">
        <v>2639670</v>
      </c>
      <c r="E119" s="1">
        <v>2658572</v>
      </c>
      <c r="F119" s="41">
        <f t="shared" si="12"/>
        <v>18.902000000000001</v>
      </c>
      <c r="G119" s="22">
        <f t="shared" si="7"/>
        <v>28.573594238081899</v>
      </c>
      <c r="H119" s="45">
        <f t="shared" si="8"/>
        <v>0</v>
      </c>
      <c r="I119" s="42">
        <f t="shared" si="9"/>
        <v>28.573594238081899</v>
      </c>
      <c r="J119" s="30">
        <f t="shared" si="11"/>
        <v>310</v>
      </c>
      <c r="K119" s="195"/>
      <c r="L119" s="27">
        <f t="shared" si="10"/>
        <v>338.57359423808191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5612930</v>
      </c>
      <c r="E120" s="1">
        <v>5655217</v>
      </c>
      <c r="F120" s="41">
        <f t="shared" si="12"/>
        <v>42.286999999999999</v>
      </c>
      <c r="G120" s="22">
        <f t="shared" si="7"/>
        <v>63.924006959357165</v>
      </c>
      <c r="H120" s="45">
        <f t="shared" si="8"/>
        <v>0</v>
      </c>
      <c r="I120" s="42">
        <f t="shared" si="9"/>
        <v>63.924006959357165</v>
      </c>
      <c r="J120" s="30">
        <f t="shared" si="11"/>
        <v>310</v>
      </c>
      <c r="K120" s="195"/>
      <c r="L120" s="27">
        <f t="shared" si="10"/>
        <v>373.92400695935714</v>
      </c>
    </row>
    <row r="121" spans="1:12" ht="15" customHeight="1" x14ac:dyDescent="0.45">
      <c r="A121" s="314"/>
      <c r="B121" s="237" t="s">
        <v>8</v>
      </c>
      <c r="C121" s="235">
        <v>503</v>
      </c>
      <c r="D121" s="1">
        <v>0</v>
      </c>
      <c r="E121" s="1">
        <v>12792</v>
      </c>
      <c r="F121" s="41">
        <f t="shared" si="12"/>
        <v>12.792</v>
      </c>
      <c r="G121" s="22">
        <f t="shared" si="7"/>
        <v>19.3372879850568</v>
      </c>
      <c r="H121" s="45">
        <f t="shared" si="8"/>
        <v>0</v>
      </c>
      <c r="I121" s="42">
        <f t="shared" si="9"/>
        <v>19.3372879850568</v>
      </c>
      <c r="J121" s="30">
        <f t="shared" si="11"/>
        <v>310</v>
      </c>
      <c r="K121" s="195"/>
      <c r="L121" s="27">
        <f t="shared" si="10"/>
        <v>329.33728798505678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4118108</v>
      </c>
      <c r="E122" s="1">
        <v>4151171</v>
      </c>
      <c r="F122" s="41">
        <f t="shared" si="12"/>
        <v>33.063000000000002</v>
      </c>
      <c r="G122" s="22">
        <f t="shared" si="7"/>
        <v>49.980359025166749</v>
      </c>
      <c r="H122" s="45">
        <f t="shared" si="8"/>
        <v>0</v>
      </c>
      <c r="I122" s="42">
        <f t="shared" si="9"/>
        <v>49.980359025166749</v>
      </c>
      <c r="J122" s="30">
        <f t="shared" si="11"/>
        <v>310</v>
      </c>
      <c r="K122" s="195"/>
      <c r="L122" s="27">
        <f t="shared" si="10"/>
        <v>359.98035902516676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2881633</v>
      </c>
      <c r="E123" s="1">
        <v>2896049</v>
      </c>
      <c r="F123" s="41">
        <f t="shared" si="12"/>
        <v>14.416</v>
      </c>
      <c r="G123" s="22">
        <f t="shared" si="7"/>
        <v>21.792240743634995</v>
      </c>
      <c r="H123" s="45">
        <f t="shared" si="8"/>
        <v>0</v>
      </c>
      <c r="I123" s="42">
        <f t="shared" si="9"/>
        <v>21.792240743634995</v>
      </c>
      <c r="J123" s="30">
        <f t="shared" si="11"/>
        <v>310</v>
      </c>
      <c r="K123" s="195"/>
      <c r="L123" s="27">
        <f t="shared" si="10"/>
        <v>331.79224074363498</v>
      </c>
    </row>
    <row r="124" spans="1:12" ht="15" customHeight="1" x14ac:dyDescent="0.45">
      <c r="A124" s="318"/>
      <c r="B124" s="5" t="s">
        <v>9</v>
      </c>
      <c r="C124" s="2">
        <v>102</v>
      </c>
      <c r="D124" s="1">
        <v>20834</v>
      </c>
      <c r="E124" s="1">
        <v>21167</v>
      </c>
      <c r="F124" s="41">
        <f>(E124-D124)*0.01</f>
        <v>3.33</v>
      </c>
      <c r="G124" s="22">
        <f>MMULT($G$1,1/$F$183)*F124</f>
        <v>5.03386249141957</v>
      </c>
      <c r="H124" s="45">
        <f t="shared" si="8"/>
        <v>0</v>
      </c>
      <c r="I124" s="42">
        <f t="shared" si="9"/>
        <v>5.03386249141957</v>
      </c>
      <c r="J124" s="30">
        <f t="shared" si="11"/>
        <v>310</v>
      </c>
      <c r="K124" s="195"/>
      <c r="L124" s="27">
        <f t="shared" si="10"/>
        <v>315.0338624914196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2765593</v>
      </c>
      <c r="E125" s="1">
        <v>2779034</v>
      </c>
      <c r="F125" s="41">
        <f t="shared" ref="F125:F182" si="13">(E125-D125)*$N$1</f>
        <v>13.441000000000001</v>
      </c>
      <c r="G125" s="22">
        <f t="shared" si="7"/>
        <v>20.318362086237371</v>
      </c>
      <c r="H125" s="45">
        <f t="shared" si="8"/>
        <v>0</v>
      </c>
      <c r="I125" s="42">
        <f t="shared" si="9"/>
        <v>20.318362086237371</v>
      </c>
      <c r="J125" s="30">
        <f t="shared" si="11"/>
        <v>310</v>
      </c>
      <c r="K125" s="195"/>
      <c r="L125" s="27">
        <f t="shared" si="10"/>
        <v>330.31836208623736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2878331</v>
      </c>
      <c r="E126" s="1">
        <v>2878331</v>
      </c>
      <c r="F126" s="41">
        <f>(E126-D126)*$N$1</f>
        <v>0</v>
      </c>
      <c r="G126" s="22">
        <f t="shared" si="7"/>
        <v>0</v>
      </c>
      <c r="H126" s="45">
        <f t="shared" si="8"/>
        <v>0</v>
      </c>
      <c r="I126" s="42">
        <f t="shared" si="9"/>
        <v>0</v>
      </c>
      <c r="J126" s="30">
        <f t="shared" si="11"/>
        <v>310</v>
      </c>
      <c r="K126" s="195"/>
      <c r="L126" s="27">
        <f t="shared" si="10"/>
        <v>310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2543259</v>
      </c>
      <c r="E127" s="1">
        <v>2555841</v>
      </c>
      <c r="F127" s="41">
        <f t="shared" si="13"/>
        <v>12.582000000000001</v>
      </c>
      <c r="G127" s="22">
        <f t="shared" si="7"/>
        <v>19.01983719730962</v>
      </c>
      <c r="H127" s="45">
        <f t="shared" si="8"/>
        <v>0</v>
      </c>
      <c r="I127" s="42">
        <f t="shared" si="9"/>
        <v>19.01983719730962</v>
      </c>
      <c r="J127" s="30">
        <f t="shared" si="11"/>
        <v>310</v>
      </c>
      <c r="K127" s="195"/>
      <c r="L127" s="27">
        <f t="shared" si="10"/>
        <v>329.01983719730964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4661204</v>
      </c>
      <c r="E128" s="1">
        <v>4673732</v>
      </c>
      <c r="F128" s="41">
        <f t="shared" si="13"/>
        <v>12.528</v>
      </c>
      <c r="G128" s="22">
        <f t="shared" si="7"/>
        <v>18.938206994746061</v>
      </c>
      <c r="H128" s="45">
        <f t="shared" si="8"/>
        <v>0</v>
      </c>
      <c r="I128" s="42">
        <f t="shared" si="9"/>
        <v>18.938206994746061</v>
      </c>
      <c r="J128" s="30">
        <f t="shared" si="11"/>
        <v>310</v>
      </c>
      <c r="K128" s="195"/>
      <c r="L128" s="27">
        <f t="shared" si="10"/>
        <v>328.93820699474605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2024310</v>
      </c>
      <c r="E129" s="1">
        <v>2041615</v>
      </c>
      <c r="F129" s="41">
        <f t="shared" si="13"/>
        <v>17.305</v>
      </c>
      <c r="G129" s="22">
        <f t="shared" si="7"/>
        <v>26.159456580785484</v>
      </c>
      <c r="H129" s="45">
        <f t="shared" si="8"/>
        <v>0</v>
      </c>
      <c r="I129" s="42">
        <f t="shared" si="9"/>
        <v>26.159456580785484</v>
      </c>
      <c r="J129" s="30">
        <f t="shared" si="11"/>
        <v>310</v>
      </c>
      <c r="K129" s="195"/>
      <c r="L129" s="27">
        <f t="shared" si="10"/>
        <v>336.1594565807855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2870428</v>
      </c>
      <c r="E130" s="1">
        <v>2878446</v>
      </c>
      <c r="F130" s="41">
        <f t="shared" si="13"/>
        <v>8.0180000000000007</v>
      </c>
      <c r="G130" s="22">
        <f t="shared" si="7"/>
        <v>12.120573410270906</v>
      </c>
      <c r="H130" s="45">
        <f t="shared" si="8"/>
        <v>0</v>
      </c>
      <c r="I130" s="42">
        <f t="shared" si="9"/>
        <v>12.120573410270906</v>
      </c>
      <c r="J130" s="30">
        <f t="shared" si="11"/>
        <v>310</v>
      </c>
      <c r="K130" s="195"/>
      <c r="L130" s="27">
        <f t="shared" si="10"/>
        <v>322.12057341027088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2886776</v>
      </c>
      <c r="E131" s="1">
        <v>2911289</v>
      </c>
      <c r="F131" s="41">
        <f t="shared" si="13"/>
        <v>24.513000000000002</v>
      </c>
      <c r="G131" s="22">
        <f t="shared" si="7"/>
        <v>37.055576952602983</v>
      </c>
      <c r="H131" s="45">
        <f t="shared" si="8"/>
        <v>0</v>
      </c>
      <c r="I131" s="42">
        <f t="shared" si="9"/>
        <v>37.055576952602983</v>
      </c>
      <c r="J131" s="30">
        <f t="shared" si="11"/>
        <v>310</v>
      </c>
      <c r="K131" s="195"/>
      <c r="L131" s="27">
        <f t="shared" si="10"/>
        <v>347.05557695260296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1842728</v>
      </c>
      <c r="E132" s="1">
        <v>1847762</v>
      </c>
      <c r="F132" s="41">
        <f t="shared" si="13"/>
        <v>5.0339999999999998</v>
      </c>
      <c r="G132" s="22">
        <f t="shared" ref="G132:G183" si="14">MMULT($G$1,1/$F$183)*F132</f>
        <v>7.6097488834252598</v>
      </c>
      <c r="H132" s="45">
        <f t="shared" ref="H132:H182" si="15">MMULT($H$1,1/180)</f>
        <v>0</v>
      </c>
      <c r="I132" s="42">
        <f t="shared" ref="I132:I181" si="16">SUM(G132,H132)</f>
        <v>7.6097488834252598</v>
      </c>
      <c r="J132" s="30">
        <f t="shared" si="11"/>
        <v>310</v>
      </c>
      <c r="K132" s="195"/>
      <c r="L132" s="27">
        <f t="shared" ref="L132:L182" si="17">SUM(I132,J132,K132)</f>
        <v>317.60974888342525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3342678</v>
      </c>
      <c r="E133" s="1">
        <v>3353535</v>
      </c>
      <c r="F133" s="41">
        <f t="shared" si="13"/>
        <v>10.857000000000001</v>
      </c>
      <c r="G133" s="22">
        <f t="shared" si="14"/>
        <v>16.412205726529212</v>
      </c>
      <c r="H133" s="45">
        <f t="shared" si="15"/>
        <v>0</v>
      </c>
      <c r="I133" s="42">
        <f t="shared" si="16"/>
        <v>16.412205726529212</v>
      </c>
      <c r="J133" s="30">
        <f t="shared" ref="J133:J182" si="18">SUM($J$3)</f>
        <v>310</v>
      </c>
      <c r="K133" s="195"/>
      <c r="L133" s="27">
        <f t="shared" si="17"/>
        <v>326.41220572652924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3879029</v>
      </c>
      <c r="E134" s="1">
        <v>3895311</v>
      </c>
      <c r="F134" s="41">
        <f t="shared" si="13"/>
        <v>16.282</v>
      </c>
      <c r="G134" s="22">
        <f t="shared" si="14"/>
        <v>24.613017743331365</v>
      </c>
      <c r="H134" s="45">
        <f t="shared" si="15"/>
        <v>0</v>
      </c>
      <c r="I134" s="42">
        <f t="shared" si="16"/>
        <v>24.613017743331365</v>
      </c>
      <c r="J134" s="30">
        <f t="shared" si="18"/>
        <v>310</v>
      </c>
      <c r="K134" s="195"/>
      <c r="L134" s="27">
        <f t="shared" si="17"/>
        <v>334.61301774333134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1882604</v>
      </c>
      <c r="E135" s="1">
        <v>1886970</v>
      </c>
      <c r="F135" s="41">
        <f t="shared" si="13"/>
        <v>4.3659999999999997</v>
      </c>
      <c r="G135" s="22">
        <f t="shared" si="14"/>
        <v>6.599953044305658</v>
      </c>
      <c r="H135" s="45">
        <f t="shared" si="15"/>
        <v>0</v>
      </c>
      <c r="I135" s="42">
        <f t="shared" si="16"/>
        <v>6.599953044305658</v>
      </c>
      <c r="J135" s="30">
        <f t="shared" si="18"/>
        <v>310</v>
      </c>
      <c r="K135" s="195"/>
      <c r="L135" s="27">
        <f t="shared" si="17"/>
        <v>316.59995304430566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2004538</v>
      </c>
      <c r="E136" s="1">
        <v>2010313</v>
      </c>
      <c r="F136" s="41">
        <f t="shared" si="13"/>
        <v>5.7750000000000004</v>
      </c>
      <c r="G136" s="22">
        <f t="shared" si="14"/>
        <v>8.7298966630474535</v>
      </c>
      <c r="H136" s="45">
        <f t="shared" si="15"/>
        <v>0</v>
      </c>
      <c r="I136" s="42">
        <f t="shared" si="16"/>
        <v>8.7298966630474535</v>
      </c>
      <c r="J136" s="30">
        <f t="shared" si="18"/>
        <v>310</v>
      </c>
      <c r="K136" s="195"/>
      <c r="L136" s="27">
        <f t="shared" si="17"/>
        <v>318.72989666304744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4335402</v>
      </c>
      <c r="E137" s="1">
        <v>4363736</v>
      </c>
      <c r="F137" s="41">
        <f t="shared" si="13"/>
        <v>28.334</v>
      </c>
      <c r="G137" s="22">
        <f t="shared" si="14"/>
        <v>42.831669619183813</v>
      </c>
      <c r="H137" s="45">
        <f t="shared" si="15"/>
        <v>0</v>
      </c>
      <c r="I137" s="42">
        <f t="shared" si="16"/>
        <v>42.831669619183813</v>
      </c>
      <c r="J137" s="30">
        <f t="shared" si="18"/>
        <v>310</v>
      </c>
      <c r="K137" s="195"/>
      <c r="L137" s="27">
        <f t="shared" si="17"/>
        <v>352.8316696191838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2359446</v>
      </c>
      <c r="E138" s="1">
        <v>2372975</v>
      </c>
      <c r="F138" s="41">
        <f t="shared" si="13"/>
        <v>13.529</v>
      </c>
      <c r="G138" s="22">
        <f t="shared" si="14"/>
        <v>20.451389083007619</v>
      </c>
      <c r="H138" s="45">
        <f t="shared" si="15"/>
        <v>0</v>
      </c>
      <c r="I138" s="42">
        <f t="shared" si="16"/>
        <v>20.451389083007619</v>
      </c>
      <c r="J138" s="30">
        <f t="shared" si="18"/>
        <v>310</v>
      </c>
      <c r="K138" s="195"/>
      <c r="L138" s="27">
        <f t="shared" si="17"/>
        <v>330.4513890830076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2971654</v>
      </c>
      <c r="E139" s="1">
        <v>2990328</v>
      </c>
      <c r="F139" s="41">
        <f t="shared" si="13"/>
        <v>18.673999999999999</v>
      </c>
      <c r="G139" s="22">
        <f t="shared" si="14"/>
        <v>28.22893338281353</v>
      </c>
      <c r="H139" s="45">
        <f t="shared" si="15"/>
        <v>0</v>
      </c>
      <c r="I139" s="42">
        <f t="shared" si="16"/>
        <v>28.22893338281353</v>
      </c>
      <c r="J139" s="30">
        <f t="shared" si="18"/>
        <v>310</v>
      </c>
      <c r="K139" s="195"/>
      <c r="L139" s="27">
        <f t="shared" si="17"/>
        <v>338.22893338281352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2980953</v>
      </c>
      <c r="E140" s="1">
        <v>2987803</v>
      </c>
      <c r="F140" s="41">
        <f t="shared" si="13"/>
        <v>6.8500000000000005</v>
      </c>
      <c r="G140" s="22">
        <f t="shared" si="14"/>
        <v>10.354942362229448</v>
      </c>
      <c r="H140" s="45">
        <f t="shared" si="15"/>
        <v>0</v>
      </c>
      <c r="I140" s="42">
        <f t="shared" si="16"/>
        <v>10.354942362229448</v>
      </c>
      <c r="J140" s="30">
        <f t="shared" si="18"/>
        <v>310</v>
      </c>
      <c r="K140" s="195"/>
      <c r="L140" s="27">
        <f t="shared" si="17"/>
        <v>320.35494236222945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2962214</v>
      </c>
      <c r="E141" s="1">
        <v>2967285</v>
      </c>
      <c r="F141" s="41">
        <f t="shared" si="13"/>
        <v>5.0709999999999997</v>
      </c>
      <c r="G141" s="22">
        <f t="shared" si="14"/>
        <v>7.6656806888854776</v>
      </c>
      <c r="H141" s="45">
        <f t="shared" si="15"/>
        <v>0</v>
      </c>
      <c r="I141" s="42">
        <f t="shared" si="16"/>
        <v>7.6656806888854776</v>
      </c>
      <c r="J141" s="30">
        <f t="shared" si="18"/>
        <v>310</v>
      </c>
      <c r="K141" s="195"/>
      <c r="L141" s="27">
        <f>SUM(I141,J141,K141)</f>
        <v>317.66568068888546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3030031</v>
      </c>
      <c r="E142" s="1">
        <v>3035656</v>
      </c>
      <c r="F142" s="41">
        <f t="shared" si="13"/>
        <v>5.625</v>
      </c>
      <c r="G142" s="22">
        <f t="shared" si="14"/>
        <v>8.5031461003708966</v>
      </c>
      <c r="H142" s="45">
        <f t="shared" si="15"/>
        <v>0</v>
      </c>
      <c r="I142" s="42">
        <f t="shared" si="16"/>
        <v>8.5031461003708966</v>
      </c>
      <c r="J142" s="30">
        <f t="shared" si="18"/>
        <v>310</v>
      </c>
      <c r="K142" s="195"/>
      <c r="L142" s="27">
        <f t="shared" si="17"/>
        <v>318.50314610037088</v>
      </c>
    </row>
    <row r="143" spans="1:12" x14ac:dyDescent="0.45">
      <c r="A143" s="314"/>
      <c r="B143" s="5" t="s">
        <v>10</v>
      </c>
      <c r="C143" s="2">
        <v>101</v>
      </c>
      <c r="D143" s="1">
        <v>3592190</v>
      </c>
      <c r="E143" s="1">
        <v>3610473</v>
      </c>
      <c r="F143" s="41">
        <f t="shared" si="13"/>
        <v>18.283000000000001</v>
      </c>
      <c r="G143" s="22">
        <f t="shared" si="14"/>
        <v>27.637870249436642</v>
      </c>
      <c r="H143" s="45">
        <f t="shared" si="15"/>
        <v>0</v>
      </c>
      <c r="I143" s="42">
        <f t="shared" si="16"/>
        <v>27.637870249436642</v>
      </c>
      <c r="J143" s="30">
        <f t="shared" si="18"/>
        <v>310</v>
      </c>
      <c r="K143" s="195"/>
      <c r="L143" s="27">
        <f t="shared" si="17"/>
        <v>337.63787024943662</v>
      </c>
    </row>
    <row r="144" spans="1:12" x14ac:dyDescent="0.45">
      <c r="A144" s="314"/>
      <c r="B144" s="5" t="s">
        <v>10</v>
      </c>
      <c r="C144" s="2">
        <v>102</v>
      </c>
      <c r="D144" s="1">
        <v>3998414</v>
      </c>
      <c r="E144" s="1">
        <v>4005844</v>
      </c>
      <c r="F144" s="41">
        <f t="shared" si="13"/>
        <v>7.43</v>
      </c>
      <c r="G144" s="22">
        <f t="shared" si="14"/>
        <v>11.231711204578801</v>
      </c>
      <c r="H144" s="45">
        <f t="shared" si="15"/>
        <v>0</v>
      </c>
      <c r="I144" s="42">
        <f t="shared" si="16"/>
        <v>11.231711204578801</v>
      </c>
      <c r="J144" s="30">
        <f t="shared" si="18"/>
        <v>310</v>
      </c>
      <c r="K144" s="195"/>
      <c r="L144" s="27">
        <f t="shared" si="17"/>
        <v>321.2317112045788</v>
      </c>
    </row>
    <row r="145" spans="1:12" x14ac:dyDescent="0.45">
      <c r="A145" s="314"/>
      <c r="B145" s="5" t="s">
        <v>10</v>
      </c>
      <c r="C145" s="2">
        <v>103</v>
      </c>
      <c r="D145" s="1">
        <v>3902326</v>
      </c>
      <c r="E145" s="1">
        <v>3909474</v>
      </c>
      <c r="F145" s="41">
        <f t="shared" si="13"/>
        <v>7.1480000000000006</v>
      </c>
      <c r="G145" s="22">
        <f t="shared" si="14"/>
        <v>10.805420146746874</v>
      </c>
      <c r="H145" s="45">
        <f t="shared" si="15"/>
        <v>0</v>
      </c>
      <c r="I145" s="42">
        <f t="shared" si="16"/>
        <v>10.805420146746874</v>
      </c>
      <c r="J145" s="30">
        <f t="shared" si="18"/>
        <v>310</v>
      </c>
      <c r="K145" s="195"/>
      <c r="L145" s="27">
        <f t="shared" si="17"/>
        <v>320.80542014674688</v>
      </c>
    </row>
    <row r="146" spans="1:12" x14ac:dyDescent="0.45">
      <c r="A146" s="314"/>
      <c r="B146" s="5" t="s">
        <v>10</v>
      </c>
      <c r="C146" s="2">
        <v>104</v>
      </c>
      <c r="D146" s="1">
        <v>2877592</v>
      </c>
      <c r="E146" s="1">
        <v>2891344</v>
      </c>
      <c r="F146" s="41">
        <f t="shared" si="13"/>
        <v>13.752000000000001</v>
      </c>
      <c r="G146" s="22">
        <f t="shared" si="14"/>
        <v>20.788491586186765</v>
      </c>
      <c r="H146" s="45">
        <f t="shared" si="15"/>
        <v>0</v>
      </c>
      <c r="I146" s="42">
        <f t="shared" si="16"/>
        <v>20.788491586186765</v>
      </c>
      <c r="J146" s="30">
        <f t="shared" si="18"/>
        <v>310</v>
      </c>
      <c r="K146" s="195"/>
      <c r="L146" s="27">
        <f t="shared" si="17"/>
        <v>330.78849158618675</v>
      </c>
    </row>
    <row r="147" spans="1:12" x14ac:dyDescent="0.45">
      <c r="A147" s="314"/>
      <c r="B147" s="5" t="s">
        <v>10</v>
      </c>
      <c r="C147" s="2">
        <v>201</v>
      </c>
      <c r="D147" s="1">
        <v>5091765</v>
      </c>
      <c r="E147" s="1">
        <v>5135594</v>
      </c>
      <c r="F147" s="41">
        <f t="shared" si="13"/>
        <v>43.829000000000001</v>
      </c>
      <c r="G147" s="22">
        <f t="shared" si="14"/>
        <v>66.255002743672179</v>
      </c>
      <c r="H147" s="45">
        <f t="shared" si="15"/>
        <v>0</v>
      </c>
      <c r="I147" s="42">
        <f t="shared" si="16"/>
        <v>66.255002743672179</v>
      </c>
      <c r="J147" s="30">
        <f t="shared" si="18"/>
        <v>310</v>
      </c>
      <c r="K147" s="195"/>
      <c r="L147" s="27">
        <f t="shared" si="17"/>
        <v>376.25500274367221</v>
      </c>
    </row>
    <row r="148" spans="1:12" x14ac:dyDescent="0.45">
      <c r="A148" s="314"/>
      <c r="B148" s="5" t="s">
        <v>10</v>
      </c>
      <c r="C148" s="2">
        <v>202</v>
      </c>
      <c r="D148" s="1">
        <v>3323806</v>
      </c>
      <c r="E148" s="1">
        <v>3347404</v>
      </c>
      <c r="F148" s="41">
        <f t="shared" si="13"/>
        <v>23.597999999999999</v>
      </c>
      <c r="G148" s="22">
        <f t="shared" si="14"/>
        <v>35.672398520275983</v>
      </c>
      <c r="H148" s="45">
        <f t="shared" si="15"/>
        <v>0</v>
      </c>
      <c r="I148" s="42">
        <f t="shared" si="16"/>
        <v>35.672398520275983</v>
      </c>
      <c r="J148" s="30">
        <f t="shared" si="18"/>
        <v>310</v>
      </c>
      <c r="K148" s="195"/>
      <c r="L148" s="27">
        <f t="shared" si="17"/>
        <v>345.67239852027598</v>
      </c>
    </row>
    <row r="149" spans="1:12" x14ac:dyDescent="0.45">
      <c r="A149" s="314"/>
      <c r="B149" s="5" t="s">
        <v>10</v>
      </c>
      <c r="C149" s="2">
        <v>203</v>
      </c>
      <c r="D149" s="1">
        <v>3352867</v>
      </c>
      <c r="E149" s="1">
        <v>3369206</v>
      </c>
      <c r="F149" s="41">
        <f t="shared" si="13"/>
        <v>16.338999999999999</v>
      </c>
      <c r="G149" s="22">
        <f t="shared" si="14"/>
        <v>24.699182957148455</v>
      </c>
      <c r="H149" s="45">
        <f t="shared" si="15"/>
        <v>0</v>
      </c>
      <c r="I149" s="42">
        <f t="shared" si="16"/>
        <v>24.699182957148455</v>
      </c>
      <c r="J149" s="30">
        <f t="shared" si="18"/>
        <v>310</v>
      </c>
      <c r="K149" s="195"/>
      <c r="L149" s="27">
        <f t="shared" si="17"/>
        <v>334.69918295714848</v>
      </c>
    </row>
    <row r="150" spans="1:12" x14ac:dyDescent="0.45">
      <c r="A150" s="314"/>
      <c r="B150" s="5" t="s">
        <v>10</v>
      </c>
      <c r="C150" s="2">
        <v>204</v>
      </c>
      <c r="D150" s="1">
        <v>1862183</v>
      </c>
      <c r="E150" s="1">
        <v>1869440</v>
      </c>
      <c r="F150" s="41">
        <f t="shared" si="13"/>
        <v>7.2570000000000006</v>
      </c>
      <c r="G150" s="22">
        <f t="shared" si="14"/>
        <v>10.970192222291839</v>
      </c>
      <c r="H150" s="45">
        <f t="shared" si="15"/>
        <v>0</v>
      </c>
      <c r="I150" s="42">
        <f t="shared" si="16"/>
        <v>10.970192222291839</v>
      </c>
      <c r="J150" s="30">
        <f t="shared" si="18"/>
        <v>310</v>
      </c>
      <c r="K150" s="195"/>
      <c r="L150" s="27">
        <f t="shared" si="17"/>
        <v>320.97019222229181</v>
      </c>
    </row>
    <row r="151" spans="1:12" x14ac:dyDescent="0.45">
      <c r="A151" s="314"/>
      <c r="B151" s="5" t="s">
        <v>10</v>
      </c>
      <c r="C151" s="2">
        <v>301</v>
      </c>
      <c r="D151" s="1">
        <v>2270569</v>
      </c>
      <c r="E151" s="1">
        <v>2284197</v>
      </c>
      <c r="F151" s="41">
        <f t="shared" si="13"/>
        <v>13.628</v>
      </c>
      <c r="G151" s="22">
        <f t="shared" si="14"/>
        <v>20.601044454374147</v>
      </c>
      <c r="H151" s="45">
        <f t="shared" si="15"/>
        <v>0</v>
      </c>
      <c r="I151" s="42">
        <f t="shared" si="16"/>
        <v>20.601044454374147</v>
      </c>
      <c r="J151" s="30">
        <f t="shared" si="18"/>
        <v>310</v>
      </c>
      <c r="K151" s="195"/>
      <c r="L151" s="27">
        <f t="shared" si="17"/>
        <v>330.60104445437412</v>
      </c>
    </row>
    <row r="152" spans="1:12" x14ac:dyDescent="0.45">
      <c r="A152" s="314"/>
      <c r="B152" s="5" t="s">
        <v>10</v>
      </c>
      <c r="C152" s="2">
        <v>302</v>
      </c>
      <c r="D152" s="1">
        <v>4093253</v>
      </c>
      <c r="E152" s="1">
        <v>4120044</v>
      </c>
      <c r="F152" s="41">
        <f t="shared" si="13"/>
        <v>26.791</v>
      </c>
      <c r="G152" s="22">
        <f t="shared" si="14"/>
        <v>40.499162164450965</v>
      </c>
      <c r="H152" s="45">
        <f t="shared" si="15"/>
        <v>0</v>
      </c>
      <c r="I152" s="42">
        <f t="shared" si="16"/>
        <v>40.499162164450965</v>
      </c>
      <c r="J152" s="30">
        <f t="shared" si="18"/>
        <v>310</v>
      </c>
      <c r="K152" s="195"/>
      <c r="L152" s="27">
        <f t="shared" si="17"/>
        <v>350.49916216445098</v>
      </c>
    </row>
    <row r="153" spans="1:12" x14ac:dyDescent="0.45">
      <c r="A153" s="314"/>
      <c r="B153" s="5" t="s">
        <v>10</v>
      </c>
      <c r="C153" s="2">
        <v>303</v>
      </c>
      <c r="D153" s="1">
        <v>2572899</v>
      </c>
      <c r="E153" s="1">
        <v>2602134</v>
      </c>
      <c r="F153" s="41">
        <f t="shared" si="13"/>
        <v>29.234999999999999</v>
      </c>
      <c r="G153" s="22">
        <f t="shared" si="14"/>
        <v>44.193684665661003</v>
      </c>
      <c r="H153" s="45">
        <f t="shared" si="15"/>
        <v>0</v>
      </c>
      <c r="I153" s="42">
        <f t="shared" si="16"/>
        <v>44.193684665661003</v>
      </c>
      <c r="J153" s="30">
        <f t="shared" si="18"/>
        <v>310</v>
      </c>
      <c r="K153" s="195"/>
      <c r="L153" s="27">
        <f>SUM(I153,J153,K153)</f>
        <v>354.19368466566101</v>
      </c>
    </row>
    <row r="154" spans="1:12" x14ac:dyDescent="0.45">
      <c r="A154" s="314"/>
      <c r="B154" s="5" t="s">
        <v>10</v>
      </c>
      <c r="C154" s="2">
        <v>304</v>
      </c>
      <c r="D154" s="1">
        <v>2208732</v>
      </c>
      <c r="E154" s="1">
        <v>2236161</v>
      </c>
      <c r="F154" s="41">
        <f t="shared" si="13"/>
        <v>27.429000000000002</v>
      </c>
      <c r="G154" s="22">
        <f t="shared" si="14"/>
        <v>41.463607891035259</v>
      </c>
      <c r="H154" s="45">
        <f t="shared" si="15"/>
        <v>0</v>
      </c>
      <c r="I154" s="42">
        <f t="shared" si="16"/>
        <v>41.463607891035259</v>
      </c>
      <c r="J154" s="30">
        <f t="shared" si="18"/>
        <v>310</v>
      </c>
      <c r="K154" s="195">
        <v>300</v>
      </c>
      <c r="L154" s="27">
        <f t="shared" si="17"/>
        <v>651.46360789103528</v>
      </c>
    </row>
    <row r="155" spans="1:12" x14ac:dyDescent="0.45">
      <c r="A155" s="314"/>
      <c r="B155" s="5" t="s">
        <v>10</v>
      </c>
      <c r="C155" s="2">
        <v>401</v>
      </c>
      <c r="D155" s="1">
        <v>4775773</v>
      </c>
      <c r="E155" s="1">
        <v>4804427</v>
      </c>
      <c r="F155" s="41">
        <f t="shared" si="13"/>
        <v>28.654</v>
      </c>
      <c r="G155" s="22">
        <f t="shared" si="14"/>
        <v>43.315404152893805</v>
      </c>
      <c r="H155" s="45">
        <f t="shared" si="15"/>
        <v>0</v>
      </c>
      <c r="I155" s="42">
        <f t="shared" si="16"/>
        <v>43.315404152893805</v>
      </c>
      <c r="J155" s="30">
        <f t="shared" si="18"/>
        <v>310</v>
      </c>
      <c r="K155" s="195"/>
      <c r="L155" s="27">
        <f t="shared" si="17"/>
        <v>353.31540415289379</v>
      </c>
    </row>
    <row r="156" spans="1:12" x14ac:dyDescent="0.45">
      <c r="A156" s="314"/>
      <c r="B156" s="5" t="s">
        <v>10</v>
      </c>
      <c r="C156" s="2">
        <v>402</v>
      </c>
      <c r="D156" s="1">
        <v>3676303</v>
      </c>
      <c r="E156" s="1">
        <v>3691288</v>
      </c>
      <c r="F156" s="41">
        <f t="shared" si="13"/>
        <v>14.984999999999999</v>
      </c>
      <c r="G156" s="22">
        <f t="shared" si="14"/>
        <v>22.652381211388064</v>
      </c>
      <c r="H156" s="45">
        <f t="shared" si="15"/>
        <v>0</v>
      </c>
      <c r="I156" s="42">
        <f t="shared" si="16"/>
        <v>22.652381211388064</v>
      </c>
      <c r="J156" s="30">
        <f t="shared" si="18"/>
        <v>310</v>
      </c>
      <c r="K156" s="195"/>
      <c r="L156" s="27">
        <f t="shared" si="17"/>
        <v>332.65238121138805</v>
      </c>
    </row>
    <row r="157" spans="1:12" x14ac:dyDescent="0.45">
      <c r="A157" s="314"/>
      <c r="B157" s="237" t="s">
        <v>10</v>
      </c>
      <c r="C157" s="235">
        <v>403</v>
      </c>
      <c r="D157" s="1">
        <v>0</v>
      </c>
      <c r="E157" s="1">
        <v>723</v>
      </c>
      <c r="F157" s="41">
        <f t="shared" si="13"/>
        <v>0.72299999999999998</v>
      </c>
      <c r="G157" s="22">
        <f t="shared" si="14"/>
        <v>1.0929377121010058</v>
      </c>
      <c r="H157" s="45">
        <f t="shared" si="15"/>
        <v>0</v>
      </c>
      <c r="I157" s="42">
        <f t="shared" si="16"/>
        <v>1.0929377121010058</v>
      </c>
      <c r="J157" s="30">
        <f t="shared" si="18"/>
        <v>310</v>
      </c>
      <c r="K157" s="195"/>
      <c r="L157" s="27">
        <f t="shared" si="17"/>
        <v>311.09293771210099</v>
      </c>
    </row>
    <row r="158" spans="1:12" x14ac:dyDescent="0.45">
      <c r="A158" s="314"/>
      <c r="B158" s="237" t="s">
        <v>10</v>
      </c>
      <c r="C158" s="235">
        <v>404</v>
      </c>
      <c r="D158" s="1">
        <v>0</v>
      </c>
      <c r="E158" s="1">
        <v>13240</v>
      </c>
      <c r="F158" s="41">
        <f t="shared" si="13"/>
        <v>13.24</v>
      </c>
      <c r="G158" s="22">
        <f t="shared" si="14"/>
        <v>20.014516332250786</v>
      </c>
      <c r="H158" s="45">
        <f t="shared" si="15"/>
        <v>0</v>
      </c>
      <c r="I158" s="42">
        <f t="shared" si="16"/>
        <v>20.014516332250786</v>
      </c>
      <c r="J158" s="30">
        <f t="shared" si="18"/>
        <v>310</v>
      </c>
      <c r="K158" s="195"/>
      <c r="L158" s="27">
        <f>SUM(I158,J158,K158)</f>
        <v>330.01451633225076</v>
      </c>
    </row>
    <row r="159" spans="1:12" x14ac:dyDescent="0.45">
      <c r="A159" s="314"/>
      <c r="B159" s="5" t="s">
        <v>10</v>
      </c>
      <c r="C159" s="2">
        <v>501</v>
      </c>
      <c r="D159" s="1">
        <v>79191</v>
      </c>
      <c r="E159" s="1">
        <v>80390</v>
      </c>
      <c r="F159" s="41">
        <f>(E159-D159)*0.01</f>
        <v>11.99</v>
      </c>
      <c r="G159" s="22">
        <f t="shared" si="14"/>
        <v>18.124928309946142</v>
      </c>
      <c r="H159" s="45">
        <f t="shared" si="15"/>
        <v>0</v>
      </c>
      <c r="I159" s="42">
        <f t="shared" si="16"/>
        <v>18.124928309946142</v>
      </c>
      <c r="J159" s="30">
        <f t="shared" si="18"/>
        <v>310</v>
      </c>
      <c r="K159" s="195"/>
      <c r="L159" s="27">
        <f>SUM(I159,J159,K159)</f>
        <v>328.12492830994614</v>
      </c>
    </row>
    <row r="160" spans="1:12" x14ac:dyDescent="0.45">
      <c r="A160" s="314"/>
      <c r="B160" s="5" t="s">
        <v>10</v>
      </c>
      <c r="C160" s="2">
        <v>502</v>
      </c>
      <c r="D160" s="1">
        <v>2646696</v>
      </c>
      <c r="E160" s="1">
        <v>2663523</v>
      </c>
      <c r="F160" s="41">
        <f t="shared" si="13"/>
        <v>16.827000000000002</v>
      </c>
      <c r="G160" s="22">
        <f t="shared" si="14"/>
        <v>25.436878121056193</v>
      </c>
      <c r="H160" s="45">
        <f t="shared" si="15"/>
        <v>0</v>
      </c>
      <c r="I160" s="42">
        <f t="shared" si="16"/>
        <v>25.436878121056193</v>
      </c>
      <c r="J160" s="30">
        <f t="shared" si="18"/>
        <v>310</v>
      </c>
      <c r="K160" s="195"/>
      <c r="L160" s="27">
        <f t="shared" si="17"/>
        <v>335.43687812105617</v>
      </c>
    </row>
    <row r="161" spans="1:12" x14ac:dyDescent="0.45">
      <c r="A161" s="314"/>
      <c r="B161" s="5" t="s">
        <v>10</v>
      </c>
      <c r="C161" s="2">
        <v>503</v>
      </c>
      <c r="D161" s="1">
        <v>3654328</v>
      </c>
      <c r="E161" s="1">
        <v>3666956</v>
      </c>
      <c r="F161" s="41">
        <f t="shared" si="13"/>
        <v>12.628</v>
      </c>
      <c r="G161" s="22">
        <f t="shared" si="14"/>
        <v>19.08937403653043</v>
      </c>
      <c r="H161" s="45">
        <f t="shared" si="15"/>
        <v>0</v>
      </c>
      <c r="I161" s="42">
        <f t="shared" si="16"/>
        <v>19.08937403653043</v>
      </c>
      <c r="J161" s="30">
        <f t="shared" si="18"/>
        <v>310</v>
      </c>
      <c r="K161" s="195"/>
      <c r="L161" s="27">
        <f t="shared" si="17"/>
        <v>329.08937403653044</v>
      </c>
    </row>
    <row r="162" spans="1:12" x14ac:dyDescent="0.45">
      <c r="A162" s="314"/>
      <c r="B162" s="5" t="s">
        <v>10</v>
      </c>
      <c r="C162" s="2">
        <v>504</v>
      </c>
      <c r="D162" s="1">
        <v>3408308</v>
      </c>
      <c r="E162" s="1">
        <v>3440124</v>
      </c>
      <c r="F162" s="41">
        <f t="shared" si="13"/>
        <v>31.815999999999999</v>
      </c>
      <c r="G162" s="22">
        <f t="shared" si="14"/>
        <v>48.095306014115629</v>
      </c>
      <c r="H162" s="45">
        <f t="shared" si="15"/>
        <v>0</v>
      </c>
      <c r="I162" s="42">
        <f t="shared" si="16"/>
        <v>48.095306014115629</v>
      </c>
      <c r="J162" s="30">
        <f t="shared" si="18"/>
        <v>310</v>
      </c>
      <c r="K162" s="195"/>
      <c r="L162" s="27">
        <f t="shared" si="17"/>
        <v>358.09530601411564</v>
      </c>
    </row>
    <row r="163" spans="1:12" x14ac:dyDescent="0.45">
      <c r="A163" s="318"/>
      <c r="B163" s="5" t="s">
        <v>11</v>
      </c>
      <c r="C163" s="2">
        <v>101</v>
      </c>
      <c r="D163" s="1">
        <v>2926842</v>
      </c>
      <c r="E163" s="1">
        <v>2950154</v>
      </c>
      <c r="F163" s="41">
        <f t="shared" si="13"/>
        <v>23.312000000000001</v>
      </c>
      <c r="G163" s="22">
        <f t="shared" si="14"/>
        <v>35.24006078077268</v>
      </c>
      <c r="H163" s="45">
        <f t="shared" si="15"/>
        <v>0</v>
      </c>
      <c r="I163" s="42">
        <f t="shared" si="16"/>
        <v>35.24006078077268</v>
      </c>
      <c r="J163" s="30">
        <f t="shared" si="18"/>
        <v>310</v>
      </c>
      <c r="K163" s="195"/>
      <c r="L163" s="27">
        <f t="shared" si="17"/>
        <v>345.24006078077269</v>
      </c>
    </row>
    <row r="164" spans="1:12" x14ac:dyDescent="0.45">
      <c r="A164" s="318"/>
      <c r="B164" s="5" t="s">
        <v>11</v>
      </c>
      <c r="C164" s="2">
        <v>102</v>
      </c>
      <c r="D164" s="1">
        <v>2611325</v>
      </c>
      <c r="E164" s="1">
        <v>2639096</v>
      </c>
      <c r="F164" s="41">
        <f t="shared" si="13"/>
        <v>27.771000000000001</v>
      </c>
      <c r="G164" s="22">
        <f t="shared" si="14"/>
        <v>41.980599173937804</v>
      </c>
      <c r="H164" s="45">
        <f t="shared" si="15"/>
        <v>0</v>
      </c>
      <c r="I164" s="42">
        <f t="shared" si="16"/>
        <v>41.980599173937804</v>
      </c>
      <c r="J164" s="30">
        <f t="shared" si="18"/>
        <v>310</v>
      </c>
      <c r="K164" s="195"/>
      <c r="L164" s="27">
        <f t="shared" si="17"/>
        <v>351.98059917393778</v>
      </c>
    </row>
    <row r="165" spans="1:12" x14ac:dyDescent="0.45">
      <c r="A165" s="318"/>
      <c r="B165" s="5" t="s">
        <v>11</v>
      </c>
      <c r="C165" s="2">
        <v>103</v>
      </c>
      <c r="D165" s="1">
        <v>2336736</v>
      </c>
      <c r="E165" s="1">
        <v>2345675</v>
      </c>
      <c r="F165" s="41">
        <f t="shared" si="13"/>
        <v>8.9390000000000001</v>
      </c>
      <c r="G165" s="22">
        <f t="shared" si="14"/>
        <v>13.512821865104966</v>
      </c>
      <c r="H165" s="45">
        <f t="shared" si="15"/>
        <v>0</v>
      </c>
      <c r="I165" s="42">
        <f t="shared" si="16"/>
        <v>13.512821865104966</v>
      </c>
      <c r="J165" s="30">
        <f t="shared" si="18"/>
        <v>310</v>
      </c>
      <c r="K165" s="195"/>
      <c r="L165" s="27">
        <f t="shared" si="17"/>
        <v>323.51282186510497</v>
      </c>
    </row>
    <row r="166" spans="1:12" x14ac:dyDescent="0.45">
      <c r="A166" s="318"/>
      <c r="B166" s="5" t="s">
        <v>11</v>
      </c>
      <c r="C166" s="2">
        <v>104</v>
      </c>
      <c r="D166" s="1">
        <v>2641487</v>
      </c>
      <c r="E166" s="1">
        <v>2673068</v>
      </c>
      <c r="F166" s="41">
        <f t="shared" si="13"/>
        <v>31.581</v>
      </c>
      <c r="G166" s="22">
        <f t="shared" si="14"/>
        <v>47.740063465922354</v>
      </c>
      <c r="H166" s="45">
        <f t="shared" si="15"/>
        <v>0</v>
      </c>
      <c r="I166" s="42">
        <f t="shared" si="16"/>
        <v>47.740063465922354</v>
      </c>
      <c r="J166" s="30">
        <f t="shared" si="18"/>
        <v>310</v>
      </c>
      <c r="K166" s="195"/>
      <c r="L166" s="27">
        <f t="shared" si="17"/>
        <v>357.74006346592233</v>
      </c>
    </row>
    <row r="167" spans="1:12" x14ac:dyDescent="0.45">
      <c r="A167" s="318"/>
      <c r="B167" s="5" t="s">
        <v>11</v>
      </c>
      <c r="C167" s="2">
        <v>201</v>
      </c>
      <c r="D167" s="1">
        <v>2022894</v>
      </c>
      <c r="E167" s="1">
        <v>2037261</v>
      </c>
      <c r="F167" s="41">
        <f t="shared" si="13"/>
        <v>14.367000000000001</v>
      </c>
      <c r="G167" s="22">
        <f t="shared" si="14"/>
        <v>21.718168893160652</v>
      </c>
      <c r="H167" s="45">
        <f t="shared" si="15"/>
        <v>0</v>
      </c>
      <c r="I167" s="42">
        <f t="shared" si="16"/>
        <v>21.718168893160652</v>
      </c>
      <c r="J167" s="30">
        <f t="shared" si="18"/>
        <v>310</v>
      </c>
      <c r="K167" s="195"/>
      <c r="L167" s="27">
        <f t="shared" si="17"/>
        <v>331.71816889316062</v>
      </c>
    </row>
    <row r="168" spans="1:12" x14ac:dyDescent="0.45">
      <c r="A168" s="318"/>
      <c r="B168" s="237" t="s">
        <v>11</v>
      </c>
      <c r="C168" s="235">
        <v>202</v>
      </c>
      <c r="D168" s="1">
        <v>0</v>
      </c>
      <c r="E168" s="1">
        <v>17928</v>
      </c>
      <c r="F168" s="41">
        <f t="shared" si="13"/>
        <v>17.928000000000001</v>
      </c>
      <c r="G168" s="22">
        <f t="shared" si="14"/>
        <v>27.10122725110212</v>
      </c>
      <c r="H168" s="45">
        <f t="shared" si="15"/>
        <v>0</v>
      </c>
      <c r="I168" s="42">
        <f t="shared" si="16"/>
        <v>27.10122725110212</v>
      </c>
      <c r="J168" s="30">
        <f t="shared" si="18"/>
        <v>310</v>
      </c>
      <c r="K168" s="195"/>
      <c r="L168" s="27">
        <f t="shared" si="17"/>
        <v>337.1012272511021</v>
      </c>
    </row>
    <row r="169" spans="1:12" x14ac:dyDescent="0.45">
      <c r="A169" s="318"/>
      <c r="B169" s="5" t="s">
        <v>11</v>
      </c>
      <c r="C169" s="2">
        <v>203</v>
      </c>
      <c r="D169" s="1">
        <v>2663063</v>
      </c>
      <c r="E169" s="1">
        <v>2673087</v>
      </c>
      <c r="F169" s="41">
        <f t="shared" si="13"/>
        <v>10.024000000000001</v>
      </c>
      <c r="G169" s="22">
        <f t="shared" si="14"/>
        <v>15.152984268465399</v>
      </c>
      <c r="H169" s="45">
        <f t="shared" si="15"/>
        <v>0</v>
      </c>
      <c r="I169" s="42">
        <f t="shared" si="16"/>
        <v>15.152984268465399</v>
      </c>
      <c r="J169" s="30">
        <f t="shared" si="18"/>
        <v>310</v>
      </c>
      <c r="K169" s="195"/>
      <c r="L169" s="27">
        <f t="shared" si="17"/>
        <v>325.15298426846539</v>
      </c>
    </row>
    <row r="170" spans="1:12" x14ac:dyDescent="0.45">
      <c r="A170" s="318"/>
      <c r="B170" s="5" t="s">
        <v>11</v>
      </c>
      <c r="C170" s="2">
        <v>204</v>
      </c>
      <c r="D170" s="1">
        <v>2255116</v>
      </c>
      <c r="E170" s="1">
        <v>2271033</v>
      </c>
      <c r="F170" s="41">
        <f t="shared" si="13"/>
        <v>15.917</v>
      </c>
      <c r="G170" s="22">
        <f t="shared" si="14"/>
        <v>24.061258040818409</v>
      </c>
      <c r="H170" s="45">
        <f t="shared" si="15"/>
        <v>0</v>
      </c>
      <c r="I170" s="42">
        <f t="shared" si="16"/>
        <v>24.061258040818409</v>
      </c>
      <c r="J170" s="30">
        <f t="shared" si="18"/>
        <v>310</v>
      </c>
      <c r="K170" s="195"/>
      <c r="L170" s="27">
        <f t="shared" si="17"/>
        <v>334.06125804081842</v>
      </c>
    </row>
    <row r="171" spans="1:12" x14ac:dyDescent="0.45">
      <c r="A171" s="318"/>
      <c r="B171" s="5" t="s">
        <v>11</v>
      </c>
      <c r="C171" s="2">
        <v>301</v>
      </c>
      <c r="D171" s="1">
        <v>3309354</v>
      </c>
      <c r="E171" s="1">
        <v>3322164</v>
      </c>
      <c r="F171" s="41">
        <f t="shared" si="13"/>
        <v>12.81</v>
      </c>
      <c r="G171" s="22">
        <f t="shared" si="14"/>
        <v>19.364498052577986</v>
      </c>
      <c r="H171" s="45">
        <f t="shared" si="15"/>
        <v>0</v>
      </c>
      <c r="I171" s="42">
        <f t="shared" si="16"/>
        <v>19.364498052577986</v>
      </c>
      <c r="J171" s="30">
        <f t="shared" si="18"/>
        <v>310</v>
      </c>
      <c r="K171" s="195"/>
      <c r="L171" s="27">
        <f t="shared" si="17"/>
        <v>329.36449805257797</v>
      </c>
    </row>
    <row r="172" spans="1:12" x14ac:dyDescent="0.45">
      <c r="A172" s="318"/>
      <c r="B172" s="5" t="s">
        <v>11</v>
      </c>
      <c r="C172" s="2">
        <v>302</v>
      </c>
      <c r="D172" s="1">
        <v>2625112</v>
      </c>
      <c r="E172" s="1">
        <v>2636786</v>
      </c>
      <c r="F172" s="41">
        <f t="shared" si="13"/>
        <v>11.673999999999999</v>
      </c>
      <c r="G172" s="22">
        <f t="shared" si="14"/>
        <v>17.647240457907525</v>
      </c>
      <c r="H172" s="45">
        <f t="shared" si="15"/>
        <v>0</v>
      </c>
      <c r="I172" s="42">
        <f t="shared" si="16"/>
        <v>17.647240457907525</v>
      </c>
      <c r="J172" s="30">
        <f t="shared" si="18"/>
        <v>310</v>
      </c>
      <c r="K172" s="195"/>
      <c r="L172" s="27">
        <f t="shared" si="17"/>
        <v>327.64724045790751</v>
      </c>
    </row>
    <row r="173" spans="1:12" x14ac:dyDescent="0.45">
      <c r="A173" s="318"/>
      <c r="B173" s="5" t="s">
        <v>11</v>
      </c>
      <c r="C173" s="2">
        <v>303</v>
      </c>
      <c r="D173" s="1">
        <v>2410786</v>
      </c>
      <c r="E173" s="1">
        <v>2423433</v>
      </c>
      <c r="F173" s="41">
        <f t="shared" si="13"/>
        <v>12.647</v>
      </c>
      <c r="G173" s="22">
        <f t="shared" si="14"/>
        <v>19.118095774469463</v>
      </c>
      <c r="H173" s="45">
        <f t="shared" si="15"/>
        <v>0</v>
      </c>
      <c r="I173" s="42">
        <f t="shared" si="16"/>
        <v>19.118095774469463</v>
      </c>
      <c r="J173" s="30">
        <f t="shared" si="18"/>
        <v>310</v>
      </c>
      <c r="K173" s="195"/>
      <c r="L173" s="27">
        <f t="shared" si="17"/>
        <v>329.11809577446945</v>
      </c>
    </row>
    <row r="174" spans="1:12" x14ac:dyDescent="0.45">
      <c r="A174" s="318"/>
      <c r="B174" s="5" t="s">
        <v>11</v>
      </c>
      <c r="C174" s="2">
        <v>304</v>
      </c>
      <c r="D174" s="1">
        <v>5187438</v>
      </c>
      <c r="E174" s="1">
        <v>5214451</v>
      </c>
      <c r="F174" s="41">
        <f t="shared" si="13"/>
        <v>27.013000000000002</v>
      </c>
      <c r="G174" s="22">
        <f t="shared" si="14"/>
        <v>40.83475299721227</v>
      </c>
      <c r="H174" s="45">
        <f t="shared" si="15"/>
        <v>0</v>
      </c>
      <c r="I174" s="42">
        <f t="shared" si="16"/>
        <v>40.83475299721227</v>
      </c>
      <c r="J174" s="30">
        <f t="shared" si="18"/>
        <v>310</v>
      </c>
      <c r="K174" s="195"/>
      <c r="L174" s="27">
        <f t="shared" si="17"/>
        <v>350.83475299721226</v>
      </c>
    </row>
    <row r="175" spans="1:12" x14ac:dyDescent="0.45">
      <c r="A175" s="318"/>
      <c r="B175" s="5" t="s">
        <v>11</v>
      </c>
      <c r="C175" s="2">
        <v>401</v>
      </c>
      <c r="D175" s="1">
        <v>3475426</v>
      </c>
      <c r="E175" s="1">
        <v>3484434</v>
      </c>
      <c r="F175" s="41">
        <f t="shared" si="13"/>
        <v>9.0080000000000009</v>
      </c>
      <c r="G175" s="22">
        <f t="shared" si="14"/>
        <v>13.617127123936184</v>
      </c>
      <c r="H175" s="45">
        <f t="shared" si="15"/>
        <v>0</v>
      </c>
      <c r="I175" s="42">
        <f t="shared" si="16"/>
        <v>13.617127123936184</v>
      </c>
      <c r="J175" s="30">
        <f t="shared" si="18"/>
        <v>310</v>
      </c>
      <c r="K175" s="195"/>
      <c r="L175" s="27">
        <f t="shared" si="17"/>
        <v>323.6171271239362</v>
      </c>
    </row>
    <row r="176" spans="1:12" x14ac:dyDescent="0.45">
      <c r="A176" s="318"/>
      <c r="B176" s="5" t="s">
        <v>11</v>
      </c>
      <c r="C176" s="2">
        <v>402</v>
      </c>
      <c r="D176" s="1">
        <v>1951868</v>
      </c>
      <c r="E176" s="1">
        <v>1960290</v>
      </c>
      <c r="F176" s="41">
        <f t="shared" si="13"/>
        <v>8.4220000000000006</v>
      </c>
      <c r="G176" s="22">
        <f t="shared" si="14"/>
        <v>12.731288259079767</v>
      </c>
      <c r="H176" s="45">
        <f t="shared" si="15"/>
        <v>0</v>
      </c>
      <c r="I176" s="42">
        <f t="shared" si="16"/>
        <v>12.731288259079767</v>
      </c>
      <c r="J176" s="30">
        <f t="shared" si="18"/>
        <v>310</v>
      </c>
      <c r="K176" s="195"/>
      <c r="L176" s="27">
        <f t="shared" si="17"/>
        <v>322.73128825907975</v>
      </c>
    </row>
    <row r="177" spans="1:12" x14ac:dyDescent="0.45">
      <c r="A177" s="318"/>
      <c r="B177" s="5" t="s">
        <v>11</v>
      </c>
      <c r="C177" s="2">
        <v>403</v>
      </c>
      <c r="D177" s="1">
        <v>3134650</v>
      </c>
      <c r="E177" s="1">
        <v>3151849</v>
      </c>
      <c r="F177" s="41">
        <f t="shared" si="13"/>
        <v>17.199000000000002</v>
      </c>
      <c r="G177" s="22">
        <f t="shared" si="14"/>
        <v>25.999219516494055</v>
      </c>
      <c r="H177" s="45">
        <f t="shared" si="15"/>
        <v>0</v>
      </c>
      <c r="I177" s="42">
        <f t="shared" si="16"/>
        <v>25.999219516494055</v>
      </c>
      <c r="J177" s="30">
        <f t="shared" si="18"/>
        <v>310</v>
      </c>
      <c r="K177" s="195"/>
      <c r="L177" s="27">
        <f t="shared" si="17"/>
        <v>335.99921951649407</v>
      </c>
    </row>
    <row r="178" spans="1:12" x14ac:dyDescent="0.45">
      <c r="A178" s="318"/>
      <c r="B178" s="5" t="s">
        <v>11</v>
      </c>
      <c r="C178" s="2">
        <v>404</v>
      </c>
      <c r="D178" s="1">
        <v>4109741</v>
      </c>
      <c r="E178" s="1">
        <v>4118650</v>
      </c>
      <c r="F178" s="41">
        <f t="shared" si="13"/>
        <v>8.9090000000000007</v>
      </c>
      <c r="G178" s="22">
        <f t="shared" si="14"/>
        <v>13.467471752569656</v>
      </c>
      <c r="H178" s="45">
        <f t="shared" si="15"/>
        <v>0</v>
      </c>
      <c r="I178" s="42">
        <f t="shared" si="16"/>
        <v>13.467471752569656</v>
      </c>
      <c r="J178" s="30">
        <f t="shared" si="18"/>
        <v>310</v>
      </c>
      <c r="K178" s="195"/>
      <c r="L178" s="27">
        <f t="shared" si="17"/>
        <v>323.46747175256968</v>
      </c>
    </row>
    <row r="179" spans="1:12" x14ac:dyDescent="0.45">
      <c r="A179" s="318"/>
      <c r="B179" s="5" t="s">
        <v>11</v>
      </c>
      <c r="C179" s="2">
        <v>501</v>
      </c>
      <c r="D179" s="1">
        <v>3698979</v>
      </c>
      <c r="E179" s="1">
        <v>3723992</v>
      </c>
      <c r="F179" s="41">
        <f t="shared" si="13"/>
        <v>25.013000000000002</v>
      </c>
      <c r="G179" s="22">
        <f t="shared" si="14"/>
        <v>37.811412161524842</v>
      </c>
      <c r="H179" s="45">
        <f t="shared" si="15"/>
        <v>0</v>
      </c>
      <c r="I179" s="42">
        <f t="shared" si="16"/>
        <v>37.811412161524842</v>
      </c>
      <c r="J179" s="30">
        <f t="shared" si="18"/>
        <v>310</v>
      </c>
      <c r="K179" s="195"/>
      <c r="L179" s="27">
        <f t="shared" si="17"/>
        <v>347.81141216152486</v>
      </c>
    </row>
    <row r="180" spans="1:12" x14ac:dyDescent="0.45">
      <c r="A180" s="318"/>
      <c r="B180" s="5" t="s">
        <v>11</v>
      </c>
      <c r="C180" s="2">
        <v>502</v>
      </c>
      <c r="D180" s="1">
        <v>3816483</v>
      </c>
      <c r="E180" s="1">
        <v>3837309</v>
      </c>
      <c r="F180" s="41">
        <f t="shared" si="13"/>
        <v>20.826000000000001</v>
      </c>
      <c r="G180" s="22">
        <f t="shared" si="14"/>
        <v>31.482048122013204</v>
      </c>
      <c r="H180" s="45">
        <f t="shared" si="15"/>
        <v>0</v>
      </c>
      <c r="I180" s="42">
        <f t="shared" si="16"/>
        <v>31.482048122013204</v>
      </c>
      <c r="J180" s="30">
        <f t="shared" si="18"/>
        <v>310</v>
      </c>
      <c r="K180" s="195"/>
      <c r="L180" s="27">
        <f t="shared" si="17"/>
        <v>341.48204812201323</v>
      </c>
    </row>
    <row r="181" spans="1:12" x14ac:dyDescent="0.45">
      <c r="A181" s="318"/>
      <c r="B181" s="5" t="s">
        <v>11</v>
      </c>
      <c r="C181" s="2">
        <v>503</v>
      </c>
      <c r="D181" s="1">
        <v>2292975</v>
      </c>
      <c r="E181" s="1">
        <v>2302096</v>
      </c>
      <c r="F181" s="41">
        <f t="shared" si="13"/>
        <v>9.1210000000000004</v>
      </c>
      <c r="G181" s="22">
        <f t="shared" si="14"/>
        <v>13.787945881152524</v>
      </c>
      <c r="H181" s="45">
        <f t="shared" si="15"/>
        <v>0</v>
      </c>
      <c r="I181" s="42">
        <f t="shared" si="16"/>
        <v>13.787945881152524</v>
      </c>
      <c r="J181" s="30">
        <f t="shared" si="18"/>
        <v>310</v>
      </c>
      <c r="K181" s="195"/>
      <c r="L181" s="27">
        <f t="shared" si="17"/>
        <v>323.7879458811525</v>
      </c>
    </row>
    <row r="182" spans="1:12" x14ac:dyDescent="0.45">
      <c r="A182" s="318"/>
      <c r="B182" s="5" t="s">
        <v>11</v>
      </c>
      <c r="C182" s="2">
        <v>504</v>
      </c>
      <c r="D182" s="1">
        <v>3112750</v>
      </c>
      <c r="E182" s="1">
        <v>3133538</v>
      </c>
      <c r="F182" s="41">
        <f t="shared" si="13"/>
        <v>20.788</v>
      </c>
      <c r="G182" s="22">
        <f t="shared" si="14"/>
        <v>31.424604646135144</v>
      </c>
      <c r="H182" s="45">
        <f t="shared" si="15"/>
        <v>0</v>
      </c>
      <c r="I182" s="42">
        <f>SUM(G182,H182)</f>
        <v>31.424604646135144</v>
      </c>
      <c r="J182" s="30">
        <f t="shared" si="18"/>
        <v>310</v>
      </c>
      <c r="K182" s="195"/>
      <c r="L182" s="27">
        <f t="shared" si="17"/>
        <v>341.42460464613515</v>
      </c>
    </row>
    <row r="183" spans="1:12" ht="15" customHeight="1" x14ac:dyDescent="0.45">
      <c r="F183" s="27">
        <f>SUM(F3:F182)</f>
        <v>2904.8660000000004</v>
      </c>
      <c r="G183" s="22">
        <f t="shared" si="14"/>
        <v>4391.2000000000007</v>
      </c>
      <c r="H183" s="41">
        <f>SUM(H3:H182)</f>
        <v>0</v>
      </c>
      <c r="I183" s="42">
        <f>SUM(G183,H183)</f>
        <v>4391.2000000000007</v>
      </c>
      <c r="K183" s="161">
        <f>SUM(K3:K182)</f>
        <v>300</v>
      </c>
    </row>
    <row r="184" spans="1:12" ht="15" customHeight="1" x14ac:dyDescent="0.45">
      <c r="F184" t="s">
        <v>12</v>
      </c>
      <c r="I184" s="109">
        <f>SUM(-E190,I1)</f>
        <v>-4970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3979.4</v>
      </c>
      <c r="F188" s="93">
        <v>1028</v>
      </c>
      <c r="G188" s="92">
        <f>MMULT(E188,1/F188)</f>
        <v>3.871011673151751</v>
      </c>
      <c r="H188" s="20"/>
    </row>
    <row r="189" spans="1:12" ht="15" customHeight="1" thickBot="1" x14ac:dyDescent="0.5">
      <c r="D189" s="46">
        <v>6244619</v>
      </c>
      <c r="E189" s="88">
        <v>5381.8</v>
      </c>
      <c r="F189" s="94">
        <f>824+568</f>
        <v>1392</v>
      </c>
      <c r="G189" s="92">
        <f>MMULT(E189,1/F189)</f>
        <v>3.866235632183908</v>
      </c>
      <c r="H189" s="20"/>
    </row>
    <row r="190" spans="1:12" ht="15" customHeight="1" thickBot="1" x14ac:dyDescent="0.5">
      <c r="D190" s="6" t="s">
        <v>33</v>
      </c>
      <c r="E190" s="48">
        <f>SUM(E188:E189)</f>
        <v>9361.2000000000007</v>
      </c>
      <c r="F190" s="95">
        <f>SUM(F188:F189)</f>
        <v>2420</v>
      </c>
    </row>
    <row r="191" spans="1:12" ht="15" customHeight="1" x14ac:dyDescent="0.45"/>
    <row r="192" spans="1:12" ht="15" customHeight="1" x14ac:dyDescent="0.45">
      <c r="D192" s="319" t="s">
        <v>69</v>
      </c>
      <c r="E192" s="319"/>
      <c r="F192" s="49">
        <f>SUM(F190)</f>
        <v>2420</v>
      </c>
      <c r="G192" s="41">
        <f>SUM(I192)</f>
        <v>3.8682644628099174</v>
      </c>
      <c r="I192" s="157" cm="1">
        <f t="array" ref="I192">MMULT(E190,1/F190)</f>
        <v>3.8682644628099174</v>
      </c>
    </row>
    <row r="193" spans="4:7" ht="15" customHeight="1" x14ac:dyDescent="0.45">
      <c r="D193" s="320" t="s">
        <v>271</v>
      </c>
      <c r="E193" s="321"/>
      <c r="F193" s="49">
        <f>SUM(F183)</f>
        <v>2904.8660000000004</v>
      </c>
      <c r="G193" s="27">
        <f>MMULT(F193,G192)</f>
        <v>11236.789917024795</v>
      </c>
    </row>
    <row r="194" spans="4:7" ht="15" customHeight="1" thickBot="1" x14ac:dyDescent="0.5">
      <c r="D194" s="320" t="s">
        <v>270</v>
      </c>
      <c r="E194" s="321"/>
      <c r="F194" s="49">
        <f>SUM(F192,-F193)*0</f>
        <v>0</v>
      </c>
      <c r="G194" s="47">
        <f>MMULT(F194,G192)</f>
        <v>0</v>
      </c>
    </row>
    <row r="195" spans="4:7" ht="15" customHeight="1" thickBot="1" x14ac:dyDescent="0.5">
      <c r="F195" s="7"/>
      <c r="G195" s="48">
        <f>SUM(G193:G194)</f>
        <v>11236.789917024795</v>
      </c>
    </row>
    <row r="196" spans="4:7" ht="15" customHeight="1" x14ac:dyDescent="0.45">
      <c r="F196" s="7"/>
    </row>
    <row r="197" spans="4:7" ht="15" customHeight="1" x14ac:dyDescent="0.45">
      <c r="F197" s="7"/>
    </row>
    <row r="198" spans="4:7" ht="15" customHeight="1" x14ac:dyDescent="0.45">
      <c r="D198" t="s">
        <v>70</v>
      </c>
      <c r="F198" s="20">
        <f>MAX(F3:F182)</f>
        <v>43.829000000000001</v>
      </c>
      <c r="G198" s="20">
        <f>MAX(I3:I182)</f>
        <v>66.255002743672179</v>
      </c>
    </row>
    <row r="199" spans="4:7" ht="15" customHeight="1" x14ac:dyDescent="0.45">
      <c r="D199" t="s">
        <v>71</v>
      </c>
      <c r="F199" s="20">
        <f>MIN(F3:F182)</f>
        <v>0</v>
      </c>
      <c r="G199" s="20">
        <f>MIN(I3:I182)</f>
        <v>0</v>
      </c>
    </row>
    <row r="200" spans="4:7" ht="15" customHeight="1" x14ac:dyDescent="0.45">
      <c r="D200" t="s">
        <v>265</v>
      </c>
      <c r="F200" s="92">
        <f>AVERAGE(F3:F182)</f>
        <v>16.138144444444446</v>
      </c>
      <c r="G200" s="92">
        <f>AVERAGE(G3:G182)</f>
        <v>24.39555555555555</v>
      </c>
    </row>
    <row r="201" spans="4:7" ht="15" customHeight="1" x14ac:dyDescent="0.45">
      <c r="D201" t="s">
        <v>273</v>
      </c>
      <c r="F201" s="92">
        <f>AVERAGE(F199,F198)</f>
        <v>21.9145</v>
      </c>
      <c r="G201" t="s">
        <v>12</v>
      </c>
    </row>
    <row r="202" spans="4:7" ht="15.75" customHeight="1" x14ac:dyDescent="0.45"/>
    <row r="203" spans="4:7" ht="15" customHeight="1" x14ac:dyDescent="0.45"/>
    <row r="204" spans="4:7" ht="15" customHeight="1" x14ac:dyDescent="0.45"/>
    <row r="205" spans="4:7" ht="15" customHeight="1" x14ac:dyDescent="0.45"/>
    <row r="206" spans="4:7" ht="15" customHeight="1" x14ac:dyDescent="0.45"/>
    <row r="207" spans="4:7" ht="15" customHeight="1" x14ac:dyDescent="0.45"/>
    <row r="208" spans="4:7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E7D6-0F68-4074-B128-96BD987331B3}">
  <dimension ref="A1:O222"/>
  <sheetViews>
    <sheetView zoomScale="85" zoomScaleNormal="85" workbookViewId="0">
      <pane xSplit="1" ySplit="2" topLeftCell="B183" activePane="bottomRight" state="frozen"/>
      <selection pane="topRight" activeCell="B1" sqref="B1"/>
      <selection pane="bottomLeft" activeCell="A4" sqref="A4"/>
      <selection pane="bottomRight" activeCell="F159" sqref="F159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8.8632812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11779.578613927653</v>
      </c>
      <c r="H1" s="27">
        <f>SUM(G194)</f>
        <v>1949.9213860723473</v>
      </c>
      <c r="I1" s="316">
        <f>SUM(G1:H1)</f>
        <v>13729.5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43840</v>
      </c>
      <c r="E2" s="3">
        <v>43871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3026899</v>
      </c>
      <c r="E3" s="1">
        <v>3039878</v>
      </c>
      <c r="F3" s="41">
        <f t="shared" ref="F3:F22" si="0">(E3-D3)*$N$1</f>
        <v>12.979000000000001</v>
      </c>
      <c r="G3" s="22">
        <f>MMULT($G$1,1/$F$183)*F3</f>
        <v>50.753398034747946</v>
      </c>
      <c r="H3" s="45">
        <f>MMULT($H$1,1/180)</f>
        <v>10.832896589290819</v>
      </c>
      <c r="I3" s="42">
        <f>SUM(G3,H3)</f>
        <v>61.586294624038764</v>
      </c>
      <c r="J3" s="30">
        <v>310</v>
      </c>
      <c r="K3" s="195"/>
      <c r="L3" s="27">
        <f>SUM(I3,J3,K3)</f>
        <v>371.58629462403877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1906224</v>
      </c>
      <c r="E4" s="1">
        <v>1917725</v>
      </c>
      <c r="F4" s="41">
        <f t="shared" si="0"/>
        <v>11.500999999999999</v>
      </c>
      <c r="G4" s="22">
        <f t="shared" ref="G4:G67" si="1">MMULT($G$1,1/$F$183)*F4</f>
        <v>44.973790800341789</v>
      </c>
      <c r="H4" s="45">
        <f t="shared" ref="H4:H67" si="2">MMULT($H$1,1/180)</f>
        <v>10.832896589290819</v>
      </c>
      <c r="I4" s="42">
        <f t="shared" ref="I4:I67" si="3">SUM(G4,H4)</f>
        <v>55.806687389632607</v>
      </c>
      <c r="J4" s="30">
        <f>SUM($J$3)</f>
        <v>310</v>
      </c>
      <c r="K4" s="195"/>
      <c r="L4" s="27">
        <f t="shared" ref="L4:L67" si="4">SUM(I4,J4,K4)</f>
        <v>365.8066873896326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2829529</v>
      </c>
      <c r="E5" s="1">
        <v>2839579</v>
      </c>
      <c r="F5" s="41">
        <f t="shared" si="0"/>
        <v>10.050000000000001</v>
      </c>
      <c r="G5" s="22">
        <f t="shared" si="1"/>
        <v>39.299765024209634</v>
      </c>
      <c r="H5" s="45">
        <f t="shared" si="2"/>
        <v>10.832896589290819</v>
      </c>
      <c r="I5" s="42">
        <f t="shared" si="3"/>
        <v>50.132661613500453</v>
      </c>
      <c r="J5" s="30">
        <f t="shared" ref="J5:J68" si="5">SUM($J$3)</f>
        <v>310</v>
      </c>
      <c r="K5" s="195">
        <v>10</v>
      </c>
      <c r="L5" s="27">
        <f t="shared" si="4"/>
        <v>370.13266161350043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2432311</v>
      </c>
      <c r="E6" s="1">
        <v>2439579</v>
      </c>
      <c r="F6" s="41">
        <f t="shared" si="0"/>
        <v>7.2679999999999998</v>
      </c>
      <c r="G6" s="22">
        <f t="shared" si="1"/>
        <v>28.420964397607523</v>
      </c>
      <c r="H6" s="45">
        <f t="shared" si="2"/>
        <v>10.832896589290819</v>
      </c>
      <c r="I6" s="42">
        <f t="shared" si="3"/>
        <v>39.253860986898346</v>
      </c>
      <c r="J6" s="30">
        <f t="shared" si="5"/>
        <v>310</v>
      </c>
      <c r="K6" s="195"/>
      <c r="L6" s="27">
        <f t="shared" si="4"/>
        <v>349.25386098689836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3551262</v>
      </c>
      <c r="E7" s="1">
        <v>3561367</v>
      </c>
      <c r="F7" s="41">
        <f t="shared" si="0"/>
        <v>10.105</v>
      </c>
      <c r="G7" s="22">
        <f t="shared" si="1"/>
        <v>39.514838365138147</v>
      </c>
      <c r="H7" s="45">
        <f t="shared" si="2"/>
        <v>10.832896589290819</v>
      </c>
      <c r="I7" s="42">
        <f t="shared" si="3"/>
        <v>50.347734954428965</v>
      </c>
      <c r="J7" s="30">
        <f t="shared" si="5"/>
        <v>310</v>
      </c>
      <c r="K7" s="195"/>
      <c r="L7" s="27">
        <f t="shared" si="4"/>
        <v>360.34773495442897</v>
      </c>
      <c r="N7" t="s">
        <v>12</v>
      </c>
    </row>
    <row r="8" spans="1:15" ht="15" customHeight="1" x14ac:dyDescent="0.45">
      <c r="A8" s="318"/>
      <c r="B8" s="237" t="s">
        <v>3</v>
      </c>
      <c r="C8" s="235">
        <v>202</v>
      </c>
      <c r="D8" s="1">
        <v>15268</v>
      </c>
      <c r="E8" s="1">
        <v>34334</v>
      </c>
      <c r="F8" s="41">
        <f t="shared" si="0"/>
        <v>19.065999999999999</v>
      </c>
      <c r="G8" s="22">
        <f t="shared" si="1"/>
        <v>74.556151238963267</v>
      </c>
      <c r="H8" s="45">
        <f t="shared" si="2"/>
        <v>10.832896589290819</v>
      </c>
      <c r="I8" s="42">
        <f t="shared" si="3"/>
        <v>85.389047828254093</v>
      </c>
      <c r="J8" s="30">
        <f t="shared" si="5"/>
        <v>310</v>
      </c>
      <c r="K8" s="195"/>
      <c r="L8" s="27">
        <f t="shared" si="4"/>
        <v>395.38904782825409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4724607</v>
      </c>
      <c r="E9" s="1">
        <v>4748016</v>
      </c>
      <c r="F9" s="41">
        <f t="shared" si="0"/>
        <v>23.408999999999999</v>
      </c>
      <c r="G9" s="22">
        <f t="shared" si="1"/>
        <v>91.539124323554546</v>
      </c>
      <c r="H9" s="45">
        <f t="shared" si="2"/>
        <v>10.832896589290819</v>
      </c>
      <c r="I9" s="42">
        <f t="shared" si="3"/>
        <v>102.37202091284536</v>
      </c>
      <c r="J9" s="30">
        <f t="shared" si="5"/>
        <v>310</v>
      </c>
      <c r="K9" s="195"/>
      <c r="L9" s="27">
        <f t="shared" si="4"/>
        <v>412.37202091284536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1841117</v>
      </c>
      <c r="E10" s="1">
        <v>1856587</v>
      </c>
      <c r="F10" s="41">
        <f t="shared" si="0"/>
        <v>15.47</v>
      </c>
      <c r="G10" s="22">
        <f t="shared" si="1"/>
        <v>60.494265166619208</v>
      </c>
      <c r="H10" s="45">
        <f t="shared" si="2"/>
        <v>10.832896589290819</v>
      </c>
      <c r="I10" s="42">
        <f t="shared" si="3"/>
        <v>71.327161755910026</v>
      </c>
      <c r="J10" s="30">
        <f t="shared" si="5"/>
        <v>310</v>
      </c>
      <c r="K10" s="195"/>
      <c r="L10" s="27">
        <f t="shared" si="4"/>
        <v>381.32716175591003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3932830</v>
      </c>
      <c r="E11" s="1">
        <v>3932844</v>
      </c>
      <c r="F11" s="41">
        <f t="shared" si="0"/>
        <v>1.4E-2</v>
      </c>
      <c r="G11" s="22">
        <f t="shared" si="1"/>
        <v>5.47459413272572E-2</v>
      </c>
      <c r="H11" s="45">
        <f t="shared" si="2"/>
        <v>10.832896589290819</v>
      </c>
      <c r="I11" s="42">
        <f t="shared" si="3"/>
        <v>10.887642530618075</v>
      </c>
      <c r="J11" s="30">
        <f t="shared" si="5"/>
        <v>310</v>
      </c>
      <c r="K11" s="195">
        <v>10</v>
      </c>
      <c r="L11" s="27">
        <f t="shared" si="4"/>
        <v>330.88764253061805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4135884</v>
      </c>
      <c r="E12" s="1">
        <v>4160313</v>
      </c>
      <c r="F12" s="41">
        <f t="shared" si="0"/>
        <v>24.429000000000002</v>
      </c>
      <c r="G12" s="22">
        <f t="shared" si="1"/>
        <v>95.527757191683307</v>
      </c>
      <c r="H12" s="45">
        <f t="shared" si="2"/>
        <v>10.832896589290819</v>
      </c>
      <c r="I12" s="42">
        <f t="shared" si="3"/>
        <v>106.36065378097413</v>
      </c>
      <c r="J12" s="30">
        <f t="shared" si="5"/>
        <v>310</v>
      </c>
      <c r="K12" s="195"/>
      <c r="L12" s="27">
        <f t="shared" si="4"/>
        <v>416.36065378097413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3465907</v>
      </c>
      <c r="E13" s="1">
        <v>3478969</v>
      </c>
      <c r="F13" s="41">
        <f t="shared" si="0"/>
        <v>13.061999999999999</v>
      </c>
      <c r="G13" s="22">
        <f t="shared" si="1"/>
        <v>51.077963258330968</v>
      </c>
      <c r="H13" s="45">
        <f t="shared" si="2"/>
        <v>10.832896589290819</v>
      </c>
      <c r="I13" s="42">
        <f t="shared" si="3"/>
        <v>61.910859847621786</v>
      </c>
      <c r="J13" s="30">
        <f t="shared" si="5"/>
        <v>310</v>
      </c>
      <c r="K13" s="195"/>
      <c r="L13" s="27">
        <f t="shared" si="4"/>
        <v>371.91085984762179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1548883</v>
      </c>
      <c r="E14" s="1">
        <v>1559563</v>
      </c>
      <c r="F14" s="41">
        <f t="shared" si="0"/>
        <v>10.68</v>
      </c>
      <c r="G14" s="22">
        <f t="shared" si="1"/>
        <v>41.763332383936202</v>
      </c>
      <c r="H14" s="45">
        <f t="shared" si="2"/>
        <v>10.832896589290819</v>
      </c>
      <c r="I14" s="42">
        <f t="shared" si="3"/>
        <v>52.596228973227021</v>
      </c>
      <c r="J14" s="30">
        <f t="shared" si="5"/>
        <v>310</v>
      </c>
      <c r="K14" s="195"/>
      <c r="L14" s="27">
        <f t="shared" si="4"/>
        <v>362.59622897322703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2175676</v>
      </c>
      <c r="E15" s="1">
        <v>2180499</v>
      </c>
      <c r="F15" s="41">
        <f t="shared" si="0"/>
        <v>4.8230000000000004</v>
      </c>
      <c r="G15" s="22">
        <f t="shared" si="1"/>
        <v>18.859976787240107</v>
      </c>
      <c r="H15" s="45">
        <f t="shared" si="2"/>
        <v>10.832896589290819</v>
      </c>
      <c r="I15" s="42">
        <f t="shared" si="3"/>
        <v>29.692873376530926</v>
      </c>
      <c r="J15" s="30">
        <f t="shared" si="5"/>
        <v>310</v>
      </c>
      <c r="K15" s="195"/>
      <c r="L15" s="27">
        <f t="shared" si="4"/>
        <v>339.69287337653094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5494545</v>
      </c>
      <c r="E16" s="1">
        <v>5507492</v>
      </c>
      <c r="F16" s="41">
        <f t="shared" si="0"/>
        <v>12.947000000000001</v>
      </c>
      <c r="G16" s="22">
        <f t="shared" si="1"/>
        <v>50.628264454571358</v>
      </c>
      <c r="H16" s="45">
        <f t="shared" si="2"/>
        <v>10.832896589290819</v>
      </c>
      <c r="I16" s="42">
        <f t="shared" si="3"/>
        <v>61.461161043862177</v>
      </c>
      <c r="J16" s="30">
        <f t="shared" si="5"/>
        <v>310</v>
      </c>
      <c r="K16" s="195">
        <v>10</v>
      </c>
      <c r="L16" s="27">
        <f t="shared" si="4"/>
        <v>381.46116104386215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2919514</v>
      </c>
      <c r="E17" s="1">
        <v>2929957</v>
      </c>
      <c r="F17" s="41">
        <f t="shared" si="0"/>
        <v>10.443</v>
      </c>
      <c r="G17" s="22">
        <f t="shared" si="1"/>
        <v>40.836561805753348</v>
      </c>
      <c r="H17" s="45">
        <f t="shared" si="2"/>
        <v>10.832896589290819</v>
      </c>
      <c r="I17" s="42">
        <f t="shared" si="3"/>
        <v>51.669458395044167</v>
      </c>
      <c r="J17" s="30">
        <f t="shared" si="5"/>
        <v>310</v>
      </c>
      <c r="K17" s="195"/>
      <c r="L17" s="27">
        <f t="shared" si="4"/>
        <v>361.66945839504416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2533804</v>
      </c>
      <c r="E18" s="1">
        <v>2549756</v>
      </c>
      <c r="F18" s="41">
        <f t="shared" si="0"/>
        <v>15.952</v>
      </c>
      <c r="G18" s="22">
        <f t="shared" si="1"/>
        <v>62.379089718029057</v>
      </c>
      <c r="H18" s="45">
        <f t="shared" si="2"/>
        <v>10.832896589290819</v>
      </c>
      <c r="I18" s="42">
        <f t="shared" si="3"/>
        <v>73.211986307319876</v>
      </c>
      <c r="J18" s="30">
        <v>310</v>
      </c>
      <c r="K18" s="195"/>
      <c r="L18" s="27">
        <f t="shared" si="4"/>
        <v>383.21198630731988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3707300</v>
      </c>
      <c r="E19" s="1">
        <v>3724103</v>
      </c>
      <c r="F19" s="41">
        <f t="shared" si="0"/>
        <v>16.803000000000001</v>
      </c>
      <c r="G19" s="22">
        <f t="shared" si="1"/>
        <v>65.706860865850203</v>
      </c>
      <c r="H19" s="45">
        <f t="shared" si="2"/>
        <v>10.832896589290819</v>
      </c>
      <c r="I19" s="42">
        <f t="shared" si="3"/>
        <v>76.539757455141029</v>
      </c>
      <c r="J19" s="30">
        <f t="shared" si="5"/>
        <v>310</v>
      </c>
      <c r="K19" s="195"/>
      <c r="L19" s="27">
        <f t="shared" si="4"/>
        <v>386.53975745514106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5483685</v>
      </c>
      <c r="E20" s="1">
        <v>5514978</v>
      </c>
      <c r="F20" s="41">
        <f t="shared" si="0"/>
        <v>31.292999999999999</v>
      </c>
      <c r="G20" s="22">
        <f t="shared" si="1"/>
        <v>122.36891013956139</v>
      </c>
      <c r="H20" s="45">
        <f t="shared" si="2"/>
        <v>10.832896589290819</v>
      </c>
      <c r="I20" s="42">
        <f t="shared" si="3"/>
        <v>133.2018067288522</v>
      </c>
      <c r="J20" s="30">
        <f t="shared" si="5"/>
        <v>310</v>
      </c>
      <c r="K20" s="195"/>
      <c r="L20" s="27">
        <f t="shared" si="4"/>
        <v>443.2018067288522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1801474</v>
      </c>
      <c r="E21" s="1">
        <v>1814564</v>
      </c>
      <c r="F21" s="41">
        <f t="shared" si="0"/>
        <v>13.09</v>
      </c>
      <c r="G21" s="22">
        <f t="shared" si="1"/>
        <v>51.187455140985477</v>
      </c>
      <c r="H21" s="45">
        <f t="shared" si="2"/>
        <v>10.832896589290819</v>
      </c>
      <c r="I21" s="42">
        <f t="shared" si="3"/>
        <v>62.020351730276296</v>
      </c>
      <c r="J21" s="30">
        <f t="shared" si="5"/>
        <v>310</v>
      </c>
      <c r="K21" s="195"/>
      <c r="L21" s="27">
        <f t="shared" si="4"/>
        <v>372.02035173027627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276786</v>
      </c>
      <c r="E22" s="1">
        <v>278269</v>
      </c>
      <c r="F22" s="41">
        <f t="shared" si="0"/>
        <v>1.4830000000000001</v>
      </c>
      <c r="G22" s="22">
        <f t="shared" si="1"/>
        <v>5.7991593563087456</v>
      </c>
      <c r="H22" s="45">
        <f t="shared" si="2"/>
        <v>10.832896589290819</v>
      </c>
      <c r="I22" s="42">
        <f t="shared" si="3"/>
        <v>16.632055945599564</v>
      </c>
      <c r="J22" s="30">
        <f t="shared" si="5"/>
        <v>310</v>
      </c>
      <c r="K22" s="195"/>
      <c r="L22" s="27">
        <f t="shared" si="4"/>
        <v>326.63205594559957</v>
      </c>
    </row>
    <row r="23" spans="1:12" ht="15" customHeight="1" x14ac:dyDescent="0.45">
      <c r="A23" s="314"/>
      <c r="B23" s="5" t="s">
        <v>4</v>
      </c>
      <c r="C23" s="2">
        <v>101</v>
      </c>
      <c r="D23" s="1">
        <v>76620</v>
      </c>
      <c r="E23" s="1">
        <v>77614</v>
      </c>
      <c r="F23" s="41">
        <f>(E23-D23)*0.01</f>
        <v>9.94</v>
      </c>
      <c r="G23" s="22">
        <f t="shared" si="1"/>
        <v>38.869618342352609</v>
      </c>
      <c r="H23" s="45">
        <f t="shared" si="2"/>
        <v>10.832896589290819</v>
      </c>
      <c r="I23" s="42">
        <f t="shared" si="3"/>
        <v>49.702514931643428</v>
      </c>
      <c r="J23" s="30">
        <f t="shared" si="5"/>
        <v>310</v>
      </c>
      <c r="K23" s="195"/>
      <c r="L23" s="27">
        <f t="shared" si="4"/>
        <v>359.70251493164341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3307784</v>
      </c>
      <c r="E24" s="1">
        <v>3335542</v>
      </c>
      <c r="F24" s="41">
        <f t="shared" ref="F24:F32" si="6">(E24-D24)*$N$1</f>
        <v>27.757999999999999</v>
      </c>
      <c r="G24" s="22">
        <f t="shared" si="1"/>
        <v>108.54555995442895</v>
      </c>
      <c r="H24" s="45">
        <f t="shared" si="2"/>
        <v>10.832896589290819</v>
      </c>
      <c r="I24" s="42">
        <f t="shared" si="3"/>
        <v>119.37845654371978</v>
      </c>
      <c r="J24" s="30">
        <f t="shared" si="5"/>
        <v>310</v>
      </c>
      <c r="K24" s="195">
        <v>10</v>
      </c>
      <c r="L24" s="27">
        <f t="shared" si="4"/>
        <v>439.37845654371978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3342857</v>
      </c>
      <c r="E25" s="1">
        <v>3360542</v>
      </c>
      <c r="F25" s="41">
        <f t="shared" si="6"/>
        <v>17.684999999999999</v>
      </c>
      <c r="G25" s="22">
        <f t="shared" si="1"/>
        <v>69.155855169467387</v>
      </c>
      <c r="H25" s="45">
        <f t="shared" si="2"/>
        <v>10.832896589290819</v>
      </c>
      <c r="I25" s="42">
        <f t="shared" si="3"/>
        <v>79.988751758758212</v>
      </c>
      <c r="J25" s="30">
        <f t="shared" si="5"/>
        <v>310</v>
      </c>
      <c r="K25" s="195"/>
      <c r="L25" s="27">
        <f t="shared" si="4"/>
        <v>389.98875175875821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5164859</v>
      </c>
      <c r="E26" s="1">
        <v>5180769</v>
      </c>
      <c r="F26" s="41">
        <f t="shared" si="6"/>
        <v>15.91</v>
      </c>
      <c r="G26" s="22">
        <f t="shared" si="1"/>
        <v>62.214851894047293</v>
      </c>
      <c r="H26" s="45">
        <f t="shared" si="2"/>
        <v>10.832896589290819</v>
      </c>
      <c r="I26" s="42">
        <f t="shared" si="3"/>
        <v>73.047748483338111</v>
      </c>
      <c r="J26" s="30">
        <f t="shared" si="5"/>
        <v>310</v>
      </c>
      <c r="K26" s="195"/>
      <c r="L26" s="27">
        <f t="shared" si="4"/>
        <v>383.04774848333813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2585390</v>
      </c>
      <c r="E27" s="1">
        <v>2609072</v>
      </c>
      <c r="F27" s="41">
        <f t="shared" si="6"/>
        <v>23.682000000000002</v>
      </c>
      <c r="G27" s="22">
        <f t="shared" si="1"/>
        <v>92.60667017943608</v>
      </c>
      <c r="H27" s="45">
        <f t="shared" si="2"/>
        <v>10.832896589290819</v>
      </c>
      <c r="I27" s="42">
        <f t="shared" si="3"/>
        <v>103.43956676872691</v>
      </c>
      <c r="J27" s="30">
        <f t="shared" si="5"/>
        <v>310</v>
      </c>
      <c r="K27" s="195">
        <v>10</v>
      </c>
      <c r="L27" s="27">
        <f t="shared" si="4"/>
        <v>423.43956676872688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2486155</v>
      </c>
      <c r="E28" s="1">
        <v>2494522</v>
      </c>
      <c r="F28" s="41">
        <f t="shared" si="6"/>
        <v>8.3670000000000009</v>
      </c>
      <c r="G28" s="22">
        <f t="shared" si="1"/>
        <v>32.718520791797218</v>
      </c>
      <c r="H28" s="45">
        <f t="shared" si="2"/>
        <v>10.832896589290819</v>
      </c>
      <c r="I28" s="42">
        <f t="shared" si="3"/>
        <v>43.551417381088037</v>
      </c>
      <c r="J28" s="30">
        <f t="shared" si="5"/>
        <v>310</v>
      </c>
      <c r="K28" s="195"/>
      <c r="L28" s="27">
        <f t="shared" si="4"/>
        <v>353.55141738108802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2356848</v>
      </c>
      <c r="E29" s="1">
        <v>2372653</v>
      </c>
      <c r="F29" s="41">
        <f t="shared" si="6"/>
        <v>15.805</v>
      </c>
      <c r="G29" s="22">
        <f t="shared" si="1"/>
        <v>61.80425733409286</v>
      </c>
      <c r="H29" s="45">
        <f t="shared" si="2"/>
        <v>10.832896589290819</v>
      </c>
      <c r="I29" s="42">
        <f t="shared" si="3"/>
        <v>72.637153923383678</v>
      </c>
      <c r="J29" s="30">
        <f t="shared" si="5"/>
        <v>310</v>
      </c>
      <c r="K29" s="195"/>
      <c r="L29" s="27">
        <f t="shared" si="4"/>
        <v>382.63715392338366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2689694</v>
      </c>
      <c r="E30" s="1">
        <v>2705853</v>
      </c>
      <c r="F30" s="41">
        <f t="shared" si="6"/>
        <v>16.158999999999999</v>
      </c>
      <c r="G30" s="22">
        <f t="shared" si="1"/>
        <v>63.188547564796359</v>
      </c>
      <c r="H30" s="45">
        <f t="shared" si="2"/>
        <v>10.832896589290819</v>
      </c>
      <c r="I30" s="42">
        <f t="shared" si="3"/>
        <v>74.021444154087177</v>
      </c>
      <c r="J30" s="30">
        <f t="shared" si="5"/>
        <v>310</v>
      </c>
      <c r="K30" s="195"/>
      <c r="L30" s="27">
        <f t="shared" si="4"/>
        <v>384.02144415408719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4138979</v>
      </c>
      <c r="E31" s="1">
        <v>4157091</v>
      </c>
      <c r="F31" s="41">
        <f t="shared" si="6"/>
        <v>18.112000000000002</v>
      </c>
      <c r="G31" s="22">
        <f t="shared" si="1"/>
        <v>70.825606379948752</v>
      </c>
      <c r="H31" s="45">
        <f t="shared" si="2"/>
        <v>10.832896589290819</v>
      </c>
      <c r="I31" s="42">
        <f t="shared" si="3"/>
        <v>81.658502969239578</v>
      </c>
      <c r="J31" s="30">
        <f t="shared" si="5"/>
        <v>310</v>
      </c>
      <c r="K31" s="195"/>
      <c r="L31" s="27">
        <f t="shared" si="4"/>
        <v>391.65850296923958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2458884</v>
      </c>
      <c r="E32" s="1">
        <v>2473698</v>
      </c>
      <c r="F32" s="41">
        <f t="shared" si="6"/>
        <v>14.814</v>
      </c>
      <c r="G32" s="22">
        <f t="shared" si="1"/>
        <v>57.929026772999151</v>
      </c>
      <c r="H32" s="45">
        <f t="shared" si="2"/>
        <v>10.832896589290819</v>
      </c>
      <c r="I32" s="42">
        <f t="shared" si="3"/>
        <v>68.761923362289963</v>
      </c>
      <c r="J32" s="30">
        <f t="shared" si="5"/>
        <v>310</v>
      </c>
      <c r="K32" s="195"/>
      <c r="L32" s="27">
        <f t="shared" si="4"/>
        <v>378.76192336228996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107454</v>
      </c>
      <c r="E33" s="1">
        <v>108832</v>
      </c>
      <c r="F33" s="41">
        <f>(E33-D33)*0.01</f>
        <v>13.780000000000001</v>
      </c>
      <c r="G33" s="22">
        <f t="shared" si="1"/>
        <v>53.885647963543164</v>
      </c>
      <c r="H33" s="45">
        <f t="shared" si="2"/>
        <v>10.832896589290819</v>
      </c>
      <c r="I33" s="42">
        <f t="shared" si="3"/>
        <v>64.718544552833976</v>
      </c>
      <c r="J33" s="30">
        <f t="shared" si="5"/>
        <v>310</v>
      </c>
      <c r="K33" s="195"/>
      <c r="L33" s="27">
        <f t="shared" si="4"/>
        <v>374.71854455283398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3230482</v>
      </c>
      <c r="E34" s="1">
        <v>3263394</v>
      </c>
      <c r="F34" s="41">
        <f t="shared" ref="F34:F42" si="7">(E34-D34)*$N$1</f>
        <v>32.911999999999999</v>
      </c>
      <c r="G34" s="22">
        <f t="shared" si="1"/>
        <v>128.69988721162065</v>
      </c>
      <c r="H34" s="45">
        <f t="shared" si="2"/>
        <v>10.832896589290819</v>
      </c>
      <c r="I34" s="42">
        <f t="shared" si="3"/>
        <v>139.53278380091146</v>
      </c>
      <c r="J34" s="30">
        <f t="shared" si="5"/>
        <v>310</v>
      </c>
      <c r="K34" s="195"/>
      <c r="L34" s="27">
        <f t="shared" si="4"/>
        <v>449.53278380091149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3197084</v>
      </c>
      <c r="E35" s="1">
        <v>3209122</v>
      </c>
      <c r="F35" s="41">
        <f t="shared" si="7"/>
        <v>12.038</v>
      </c>
      <c r="G35" s="22">
        <f t="shared" si="1"/>
        <v>47.073688692680157</v>
      </c>
      <c r="H35" s="45">
        <f t="shared" si="2"/>
        <v>10.832896589290819</v>
      </c>
      <c r="I35" s="42">
        <f t="shared" si="3"/>
        <v>57.906585281970976</v>
      </c>
      <c r="J35" s="30">
        <f t="shared" si="5"/>
        <v>310</v>
      </c>
      <c r="K35" s="195"/>
      <c r="L35" s="27">
        <f t="shared" si="4"/>
        <v>367.90658528197099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1227609</v>
      </c>
      <c r="E36" s="1">
        <v>1238912</v>
      </c>
      <c r="F36" s="41">
        <f t="shared" si="7"/>
        <v>11.303000000000001</v>
      </c>
      <c r="G36" s="22">
        <f t="shared" si="1"/>
        <v>44.199526772999157</v>
      </c>
      <c r="H36" s="45">
        <f t="shared" si="2"/>
        <v>10.832896589290819</v>
      </c>
      <c r="I36" s="42">
        <f t="shared" si="3"/>
        <v>55.032423362289975</v>
      </c>
      <c r="J36" s="30">
        <f t="shared" si="5"/>
        <v>310</v>
      </c>
      <c r="K36" s="195"/>
      <c r="L36" s="27">
        <f t="shared" si="4"/>
        <v>365.03242336228999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1471030</v>
      </c>
      <c r="E37" s="1">
        <v>1484537</v>
      </c>
      <c r="F37" s="41">
        <f t="shared" si="7"/>
        <v>13.507</v>
      </c>
      <c r="G37" s="22">
        <f t="shared" si="1"/>
        <v>52.818102107661637</v>
      </c>
      <c r="H37" s="45">
        <f t="shared" si="2"/>
        <v>10.832896589290819</v>
      </c>
      <c r="I37" s="42">
        <f t="shared" si="3"/>
        <v>63.650998696952456</v>
      </c>
      <c r="J37" s="30">
        <f t="shared" si="5"/>
        <v>310</v>
      </c>
      <c r="K37" s="195"/>
      <c r="L37" s="27">
        <f t="shared" si="4"/>
        <v>373.65099869695246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3691234</v>
      </c>
      <c r="E38" s="1">
        <v>3707941</v>
      </c>
      <c r="F38" s="41">
        <f t="shared" si="7"/>
        <v>16.707000000000001</v>
      </c>
      <c r="G38" s="22">
        <f t="shared" si="1"/>
        <v>65.331460125320433</v>
      </c>
      <c r="H38" s="45">
        <f t="shared" si="2"/>
        <v>10.832896589290819</v>
      </c>
      <c r="I38" s="42">
        <f t="shared" si="3"/>
        <v>76.164356714611245</v>
      </c>
      <c r="J38" s="30">
        <f t="shared" si="5"/>
        <v>310</v>
      </c>
      <c r="K38" s="195"/>
      <c r="L38" s="27">
        <f t="shared" si="4"/>
        <v>386.16435671461124</v>
      </c>
    </row>
    <row r="39" spans="1:12" ht="15" customHeight="1" x14ac:dyDescent="0.45">
      <c r="A39" s="314"/>
      <c r="B39" s="5" t="s">
        <v>4</v>
      </c>
      <c r="C39" s="2">
        <v>501</v>
      </c>
      <c r="D39" s="1">
        <v>4674387</v>
      </c>
      <c r="E39" s="1">
        <v>4747898</v>
      </c>
      <c r="F39" s="41">
        <f t="shared" si="7"/>
        <v>73.510999999999996</v>
      </c>
      <c r="G39" s="22">
        <f t="shared" si="1"/>
        <v>287.45920663628596</v>
      </c>
      <c r="H39" s="45">
        <f t="shared" si="2"/>
        <v>10.832896589290819</v>
      </c>
      <c r="I39" s="42">
        <f t="shared" si="3"/>
        <v>298.2921032255768</v>
      </c>
      <c r="J39" s="30">
        <f t="shared" si="5"/>
        <v>310</v>
      </c>
      <c r="K39" s="195">
        <v>10</v>
      </c>
      <c r="L39" s="27">
        <f t="shared" si="4"/>
        <v>618.29210322557674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6525389</v>
      </c>
      <c r="E40" s="1">
        <v>6543581</v>
      </c>
      <c r="F40" s="41">
        <f t="shared" si="7"/>
        <v>18.192</v>
      </c>
      <c r="G40" s="22">
        <f t="shared" si="1"/>
        <v>71.13844033039021</v>
      </c>
      <c r="H40" s="45">
        <f t="shared" si="2"/>
        <v>10.832896589290819</v>
      </c>
      <c r="I40" s="42">
        <f t="shared" si="3"/>
        <v>81.971336919681022</v>
      </c>
      <c r="J40" s="30">
        <f t="shared" si="5"/>
        <v>310</v>
      </c>
      <c r="K40" s="195"/>
      <c r="L40" s="27">
        <f t="shared" si="4"/>
        <v>391.97133691968099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3589692</v>
      </c>
      <c r="E41" s="1">
        <v>3617557</v>
      </c>
      <c r="F41" s="41">
        <f t="shared" si="7"/>
        <v>27.865000000000002</v>
      </c>
      <c r="G41" s="22">
        <f t="shared" si="1"/>
        <v>108.96397536314443</v>
      </c>
      <c r="H41" s="45">
        <f t="shared" si="2"/>
        <v>10.832896589290819</v>
      </c>
      <c r="I41" s="42">
        <f t="shared" si="3"/>
        <v>119.79687195243525</v>
      </c>
      <c r="J41" s="30">
        <f t="shared" si="5"/>
        <v>310</v>
      </c>
      <c r="K41" s="195"/>
      <c r="L41" s="27">
        <f t="shared" si="4"/>
        <v>429.79687195243525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2919557</v>
      </c>
      <c r="E42" s="1">
        <v>2926192</v>
      </c>
      <c r="F42" s="41">
        <f t="shared" si="7"/>
        <v>6.6349999999999998</v>
      </c>
      <c r="G42" s="22">
        <f t="shared" si="1"/>
        <v>25.945665764739392</v>
      </c>
      <c r="H42" s="45">
        <f t="shared" si="2"/>
        <v>10.832896589290819</v>
      </c>
      <c r="I42" s="42">
        <f t="shared" si="3"/>
        <v>36.778562354030214</v>
      </c>
      <c r="J42" s="30">
        <f t="shared" si="5"/>
        <v>310</v>
      </c>
      <c r="K42" s="195"/>
      <c r="L42" s="27">
        <f t="shared" si="4"/>
        <v>346.77856235403021</v>
      </c>
    </row>
    <row r="43" spans="1:12" ht="15" customHeight="1" x14ac:dyDescent="0.45">
      <c r="A43" s="318"/>
      <c r="B43" s="5" t="s">
        <v>5</v>
      </c>
      <c r="C43" s="2">
        <v>101</v>
      </c>
      <c r="D43" s="1">
        <v>24787</v>
      </c>
      <c r="E43" s="1">
        <v>25523</v>
      </c>
      <c r="F43" s="41">
        <f>(E43-D43)*0.01</f>
        <v>7.36</v>
      </c>
      <c r="G43" s="22">
        <f t="shared" si="1"/>
        <v>28.780723440615215</v>
      </c>
      <c r="H43" s="45">
        <f t="shared" si="2"/>
        <v>10.832896589290819</v>
      </c>
      <c r="I43" s="42">
        <f t="shared" si="3"/>
        <v>39.613620029906031</v>
      </c>
      <c r="J43" s="30">
        <f t="shared" si="5"/>
        <v>310</v>
      </c>
      <c r="K43" s="195"/>
      <c r="L43" s="27">
        <f t="shared" si="4"/>
        <v>349.61362002990603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2793627</v>
      </c>
      <c r="E44" s="1">
        <v>2817050</v>
      </c>
      <c r="F44" s="41">
        <f t="shared" ref="F44:F56" si="8">(E44-D44)*$N$1</f>
        <v>23.423000000000002</v>
      </c>
      <c r="G44" s="22">
        <f t="shared" si="1"/>
        <v>91.593870264881815</v>
      </c>
      <c r="H44" s="45">
        <f t="shared" si="2"/>
        <v>10.832896589290819</v>
      </c>
      <c r="I44" s="42">
        <f t="shared" si="3"/>
        <v>102.42676685417263</v>
      </c>
      <c r="J44" s="30">
        <f t="shared" si="5"/>
        <v>310</v>
      </c>
      <c r="K44" s="195"/>
      <c r="L44" s="27">
        <f t="shared" si="4"/>
        <v>412.42676685417263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976923</v>
      </c>
      <c r="E45" s="1">
        <v>980475</v>
      </c>
      <c r="F45" s="41">
        <f t="shared" si="8"/>
        <v>3.552</v>
      </c>
      <c r="G45" s="22">
        <f t="shared" si="1"/>
        <v>13.889827399601256</v>
      </c>
      <c r="H45" s="45">
        <f t="shared" si="2"/>
        <v>10.832896589290819</v>
      </c>
      <c r="I45" s="42">
        <f t="shared" si="3"/>
        <v>24.722723988892074</v>
      </c>
      <c r="J45" s="30">
        <f t="shared" si="5"/>
        <v>310</v>
      </c>
      <c r="K45" s="195"/>
      <c r="L45" s="27">
        <f t="shared" si="4"/>
        <v>334.72272398889208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4120083</v>
      </c>
      <c r="E46" s="1">
        <v>4133404</v>
      </c>
      <c r="F46" s="41">
        <f t="shared" si="8"/>
        <v>13.321</v>
      </c>
      <c r="G46" s="22">
        <f t="shared" si="1"/>
        <v>52.090763172885225</v>
      </c>
      <c r="H46" s="45">
        <f t="shared" si="2"/>
        <v>10.832896589290819</v>
      </c>
      <c r="I46" s="42">
        <f t="shared" si="3"/>
        <v>62.923659762176044</v>
      </c>
      <c r="J46" s="30">
        <f t="shared" si="5"/>
        <v>310</v>
      </c>
      <c r="K46" s="195"/>
      <c r="L46" s="27">
        <f t="shared" si="4"/>
        <v>372.92365976217604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3810499</v>
      </c>
      <c r="E47" s="1">
        <v>3832494</v>
      </c>
      <c r="F47" s="41">
        <f t="shared" si="8"/>
        <v>21.995000000000001</v>
      </c>
      <c r="G47" s="22">
        <f t="shared" si="1"/>
        <v>86.009784249501578</v>
      </c>
      <c r="H47" s="45">
        <f t="shared" si="2"/>
        <v>10.832896589290819</v>
      </c>
      <c r="I47" s="42">
        <f t="shared" si="3"/>
        <v>96.842680838792404</v>
      </c>
      <c r="J47" s="30">
        <f t="shared" si="5"/>
        <v>310</v>
      </c>
      <c r="K47" s="195"/>
      <c r="L47" s="27">
        <f t="shared" si="4"/>
        <v>406.84268083879238</v>
      </c>
    </row>
    <row r="48" spans="1:12" ht="15" customHeight="1" x14ac:dyDescent="0.45">
      <c r="A48" s="318"/>
      <c r="B48" s="5" t="s">
        <v>5</v>
      </c>
      <c r="C48" s="2">
        <v>202</v>
      </c>
      <c r="D48" s="1">
        <v>2841800</v>
      </c>
      <c r="E48" s="1">
        <v>2872334</v>
      </c>
      <c r="F48" s="41">
        <f t="shared" si="8"/>
        <v>30.533999999999999</v>
      </c>
      <c r="G48" s="22">
        <f t="shared" si="1"/>
        <v>119.40089803474795</v>
      </c>
      <c r="H48" s="45">
        <f t="shared" si="2"/>
        <v>10.832896589290819</v>
      </c>
      <c r="I48" s="42">
        <f t="shared" si="3"/>
        <v>130.23379462403878</v>
      </c>
      <c r="J48" s="30">
        <f t="shared" si="5"/>
        <v>310</v>
      </c>
      <c r="K48" s="195">
        <v>10</v>
      </c>
      <c r="L48" s="27">
        <f t="shared" si="4"/>
        <v>450.23379462403875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2302374</v>
      </c>
      <c r="E49" s="1">
        <v>2313778</v>
      </c>
      <c r="F49" s="41">
        <f t="shared" si="8"/>
        <v>11.404</v>
      </c>
      <c r="G49" s="22">
        <f t="shared" si="1"/>
        <v>44.594479635431505</v>
      </c>
      <c r="H49" s="45">
        <f t="shared" si="2"/>
        <v>10.832896589290819</v>
      </c>
      <c r="I49" s="42">
        <f t="shared" si="3"/>
        <v>55.427376224722323</v>
      </c>
      <c r="J49" s="30">
        <f t="shared" si="5"/>
        <v>310</v>
      </c>
      <c r="K49" s="195"/>
      <c r="L49" s="27">
        <f t="shared" si="4"/>
        <v>365.42737622472231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2222852</v>
      </c>
      <c r="E50" s="1">
        <v>2236138</v>
      </c>
      <c r="F50" s="41">
        <f t="shared" si="8"/>
        <v>13.286</v>
      </c>
      <c r="G50" s="22">
        <f t="shared" si="1"/>
        <v>51.953898319567081</v>
      </c>
      <c r="H50" s="45">
        <f t="shared" si="2"/>
        <v>10.832896589290819</v>
      </c>
      <c r="I50" s="42">
        <f t="shared" si="3"/>
        <v>62.7867949088579</v>
      </c>
      <c r="J50" s="30">
        <f t="shared" si="5"/>
        <v>310</v>
      </c>
      <c r="K50" s="195"/>
      <c r="L50" s="27">
        <f t="shared" si="4"/>
        <v>372.78679490885793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2651025</v>
      </c>
      <c r="E51" s="1">
        <v>2666149</v>
      </c>
      <c r="F51" s="41">
        <f t="shared" si="8"/>
        <v>15.124000000000001</v>
      </c>
      <c r="G51" s="22">
        <f t="shared" si="1"/>
        <v>59.14125833095985</v>
      </c>
      <c r="H51" s="45">
        <f t="shared" si="2"/>
        <v>10.832896589290819</v>
      </c>
      <c r="I51" s="42">
        <f t="shared" si="3"/>
        <v>69.974154920250669</v>
      </c>
      <c r="J51" s="30">
        <f t="shared" si="5"/>
        <v>310</v>
      </c>
      <c r="K51" s="195"/>
      <c r="L51" s="27">
        <f t="shared" si="4"/>
        <v>379.97415492025067</v>
      </c>
    </row>
    <row r="52" spans="1:12" ht="15" customHeight="1" x14ac:dyDescent="0.45">
      <c r="A52" s="318"/>
      <c r="B52" s="5" t="s">
        <v>5</v>
      </c>
      <c r="C52" s="2">
        <v>302</v>
      </c>
      <c r="D52" s="1">
        <v>3982807</v>
      </c>
      <c r="E52" s="1">
        <v>3999472</v>
      </c>
      <c r="F52" s="41">
        <f t="shared" si="8"/>
        <v>16.664999999999999</v>
      </c>
      <c r="G52" s="22">
        <f t="shared" si="1"/>
        <v>65.167222301338654</v>
      </c>
      <c r="H52" s="45">
        <f t="shared" si="2"/>
        <v>10.832896589290819</v>
      </c>
      <c r="I52" s="42">
        <f t="shared" si="3"/>
        <v>76.000118890629466</v>
      </c>
      <c r="J52" s="30">
        <f t="shared" si="5"/>
        <v>310</v>
      </c>
      <c r="K52" s="195"/>
      <c r="L52" s="27">
        <f t="shared" si="4"/>
        <v>386.00011889062944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3630480</v>
      </c>
      <c r="E53" s="1">
        <v>3638006</v>
      </c>
      <c r="F53" s="41">
        <f t="shared" si="8"/>
        <v>7.5259999999999998</v>
      </c>
      <c r="G53" s="22">
        <f t="shared" si="1"/>
        <v>29.429853887781263</v>
      </c>
      <c r="H53" s="45">
        <f t="shared" si="2"/>
        <v>10.832896589290819</v>
      </c>
      <c r="I53" s="42">
        <f t="shared" si="3"/>
        <v>40.262750477072082</v>
      </c>
      <c r="J53" s="30">
        <f t="shared" si="5"/>
        <v>310</v>
      </c>
      <c r="K53" s="195"/>
      <c r="L53" s="27">
        <f t="shared" si="4"/>
        <v>350.26275047707207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2854578</v>
      </c>
      <c r="E54" s="1">
        <v>2869431</v>
      </c>
      <c r="F54" s="41">
        <f t="shared" si="8"/>
        <v>14.853</v>
      </c>
      <c r="G54" s="22">
        <f t="shared" si="1"/>
        <v>58.081533323839366</v>
      </c>
      <c r="H54" s="45">
        <f t="shared" si="2"/>
        <v>10.832896589290819</v>
      </c>
      <c r="I54" s="42">
        <f t="shared" si="3"/>
        <v>68.914429913130192</v>
      </c>
      <c r="J54" s="30">
        <f t="shared" si="5"/>
        <v>310</v>
      </c>
      <c r="K54" s="195"/>
      <c r="L54" s="27">
        <f t="shared" si="4"/>
        <v>378.91442991313022</v>
      </c>
    </row>
    <row r="55" spans="1:12" ht="15" customHeight="1" x14ac:dyDescent="0.45">
      <c r="A55" s="318"/>
      <c r="B55" s="5" t="s">
        <v>5</v>
      </c>
      <c r="C55" s="2">
        <v>401</v>
      </c>
      <c r="D55" s="1">
        <v>2962532</v>
      </c>
      <c r="E55" s="1">
        <v>2984379</v>
      </c>
      <c r="F55" s="41">
        <f t="shared" si="8"/>
        <v>21.847000000000001</v>
      </c>
      <c r="G55" s="22">
        <f t="shared" si="1"/>
        <v>85.43104144118486</v>
      </c>
      <c r="H55" s="45">
        <f t="shared" si="2"/>
        <v>10.832896589290819</v>
      </c>
      <c r="I55" s="42">
        <f t="shared" si="3"/>
        <v>96.263938030475686</v>
      </c>
      <c r="J55" s="30">
        <f t="shared" si="5"/>
        <v>310</v>
      </c>
      <c r="K55" s="195"/>
      <c r="L55" s="27">
        <f t="shared" si="4"/>
        <v>406.26393803047569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1293955</v>
      </c>
      <c r="E56" s="1">
        <v>1299432</v>
      </c>
      <c r="F56" s="41">
        <f t="shared" si="8"/>
        <v>5.4770000000000003</v>
      </c>
      <c r="G56" s="22">
        <f t="shared" si="1"/>
        <v>21.417394332099121</v>
      </c>
      <c r="H56" s="45">
        <f t="shared" si="2"/>
        <v>10.832896589290819</v>
      </c>
      <c r="I56" s="42">
        <f t="shared" si="3"/>
        <v>32.25029092138994</v>
      </c>
      <c r="J56" s="30">
        <f t="shared" si="5"/>
        <v>310</v>
      </c>
      <c r="K56" s="195"/>
      <c r="L56" s="27">
        <f t="shared" si="4"/>
        <v>342.25029092138993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155368</v>
      </c>
      <c r="E57" s="1">
        <v>155975</v>
      </c>
      <c r="F57" s="41">
        <f>(E57-D57)*0.01</f>
        <v>6.07</v>
      </c>
      <c r="G57" s="22">
        <f t="shared" si="1"/>
        <v>23.736275989746517</v>
      </c>
      <c r="H57" s="45">
        <f t="shared" si="2"/>
        <v>10.832896589290819</v>
      </c>
      <c r="I57" s="42">
        <f t="shared" si="3"/>
        <v>34.569172579037335</v>
      </c>
      <c r="J57" s="30">
        <f t="shared" si="5"/>
        <v>310</v>
      </c>
      <c r="K57" s="195"/>
      <c r="L57" s="27">
        <f t="shared" si="4"/>
        <v>344.56917257903734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1905017</v>
      </c>
      <c r="E58" s="1">
        <v>1916519</v>
      </c>
      <c r="F58" s="41">
        <f t="shared" ref="F58:F87" si="9">(E58-D58)*$N$1</f>
        <v>11.502000000000001</v>
      </c>
      <c r="G58" s="22">
        <f t="shared" si="1"/>
        <v>44.97770122472231</v>
      </c>
      <c r="H58" s="45">
        <f t="shared" si="2"/>
        <v>10.832896589290819</v>
      </c>
      <c r="I58" s="42">
        <f t="shared" si="3"/>
        <v>55.810597814013128</v>
      </c>
      <c r="J58" s="30">
        <f t="shared" si="5"/>
        <v>310</v>
      </c>
      <c r="K58" s="195"/>
      <c r="L58" s="27">
        <f t="shared" si="4"/>
        <v>365.81059781401314</v>
      </c>
    </row>
    <row r="59" spans="1:12" ht="15" customHeight="1" x14ac:dyDescent="0.45">
      <c r="A59" s="318"/>
      <c r="B59" s="5" t="s">
        <v>5</v>
      </c>
      <c r="C59" s="2">
        <v>501</v>
      </c>
      <c r="D59" s="1">
        <v>2697485</v>
      </c>
      <c r="E59" s="1">
        <v>2753488</v>
      </c>
      <c r="F59" s="41">
        <f t="shared" si="9"/>
        <v>56.003</v>
      </c>
      <c r="G59" s="22">
        <f t="shared" si="1"/>
        <v>218.99549658217035</v>
      </c>
      <c r="H59" s="45">
        <f t="shared" si="2"/>
        <v>10.832896589290819</v>
      </c>
      <c r="I59" s="42">
        <f t="shared" si="3"/>
        <v>229.82839317146116</v>
      </c>
      <c r="J59" s="30">
        <f t="shared" si="5"/>
        <v>310</v>
      </c>
      <c r="K59" s="195"/>
      <c r="L59" s="27">
        <f t="shared" si="4"/>
        <v>539.82839317146113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3405845</v>
      </c>
      <c r="E60" s="1">
        <v>3418905</v>
      </c>
      <c r="F60" s="41">
        <f t="shared" si="9"/>
        <v>13.06</v>
      </c>
      <c r="G60" s="22">
        <f t="shared" si="1"/>
        <v>51.070142409569932</v>
      </c>
      <c r="H60" s="45">
        <f t="shared" si="2"/>
        <v>10.832896589290819</v>
      </c>
      <c r="I60" s="42">
        <f t="shared" si="3"/>
        <v>61.903038998860751</v>
      </c>
      <c r="J60" s="30">
        <f t="shared" si="5"/>
        <v>310</v>
      </c>
      <c r="K60" s="195"/>
      <c r="L60" s="27">
        <f t="shared" si="4"/>
        <v>371.90303899886078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4302249</v>
      </c>
      <c r="E61" s="1">
        <v>4337247</v>
      </c>
      <c r="F61" s="41">
        <f t="shared" si="9"/>
        <v>34.997999999999998</v>
      </c>
      <c r="G61" s="22">
        <f t="shared" si="1"/>
        <v>136.85703246938195</v>
      </c>
      <c r="H61" s="45">
        <f t="shared" si="2"/>
        <v>10.832896589290819</v>
      </c>
      <c r="I61" s="42">
        <f t="shared" si="3"/>
        <v>147.68992905867276</v>
      </c>
      <c r="J61" s="30">
        <f t="shared" si="5"/>
        <v>310</v>
      </c>
      <c r="K61" s="195"/>
      <c r="L61" s="27">
        <f t="shared" si="4"/>
        <v>457.68992905867276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2025150</v>
      </c>
      <c r="E62" s="1">
        <v>2045585</v>
      </c>
      <c r="F62" s="41">
        <f t="shared" si="9"/>
        <v>20.434999999999999</v>
      </c>
      <c r="G62" s="22">
        <f t="shared" si="1"/>
        <v>79.90952221589292</v>
      </c>
      <c r="H62" s="45">
        <f t="shared" si="2"/>
        <v>10.832896589290819</v>
      </c>
      <c r="I62" s="42">
        <f t="shared" si="3"/>
        <v>90.742418805183746</v>
      </c>
      <c r="J62" s="30">
        <f t="shared" si="5"/>
        <v>310</v>
      </c>
      <c r="K62" s="195"/>
      <c r="L62" s="27">
        <f t="shared" si="4"/>
        <v>400.74241880518377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4761432</v>
      </c>
      <c r="E63" s="1">
        <v>4778979</v>
      </c>
      <c r="F63" s="41">
        <f t="shared" si="9"/>
        <v>17.547000000000001</v>
      </c>
      <c r="G63" s="22">
        <f t="shared" si="1"/>
        <v>68.616216604955866</v>
      </c>
      <c r="H63" s="45">
        <f t="shared" si="2"/>
        <v>10.832896589290819</v>
      </c>
      <c r="I63" s="42">
        <f t="shared" si="3"/>
        <v>79.449113194246678</v>
      </c>
      <c r="J63" s="30">
        <f t="shared" si="5"/>
        <v>310</v>
      </c>
      <c r="K63" s="195"/>
      <c r="L63" s="27">
        <f t="shared" si="4"/>
        <v>389.44911319424671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4625302</v>
      </c>
      <c r="E64" s="1">
        <v>4646220</v>
      </c>
      <c r="F64" s="41">
        <f t="shared" si="9"/>
        <v>20.917999999999999</v>
      </c>
      <c r="G64" s="22">
        <f>MMULT($G$1,1/$F$183)*F64</f>
        <v>81.798257191683291</v>
      </c>
      <c r="H64" s="45">
        <f t="shared" si="2"/>
        <v>10.832896589290819</v>
      </c>
      <c r="I64" s="42">
        <f t="shared" si="3"/>
        <v>92.631153780974103</v>
      </c>
      <c r="J64" s="30">
        <f t="shared" si="5"/>
        <v>310</v>
      </c>
      <c r="K64" s="195"/>
      <c r="L64" s="27">
        <f t="shared" si="4"/>
        <v>402.6311537809741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3300265</v>
      </c>
      <c r="E65" s="1">
        <v>3318662</v>
      </c>
      <c r="F65" s="41">
        <f t="shared" si="9"/>
        <v>18.397000000000002</v>
      </c>
      <c r="G65" s="22">
        <f t="shared" si="1"/>
        <v>71.940077328396484</v>
      </c>
      <c r="H65" s="45">
        <f t="shared" si="2"/>
        <v>10.832896589290819</v>
      </c>
      <c r="I65" s="42">
        <f t="shared" si="3"/>
        <v>82.772973917687295</v>
      </c>
      <c r="J65" s="30">
        <f t="shared" si="5"/>
        <v>310</v>
      </c>
      <c r="K65" s="195">
        <v>10</v>
      </c>
      <c r="L65" s="27">
        <f>SUM(I65,J65,K65)</f>
        <v>402.7729739176873</v>
      </c>
    </row>
    <row r="66" spans="1:12" ht="15" customHeight="1" x14ac:dyDescent="0.45">
      <c r="A66" s="314"/>
      <c r="B66" s="237" t="s">
        <v>6</v>
      </c>
      <c r="C66" s="235">
        <v>104</v>
      </c>
      <c r="D66" s="1">
        <v>14822</v>
      </c>
      <c r="E66" s="1">
        <v>33824</v>
      </c>
      <c r="F66" s="41">
        <f t="shared" si="9"/>
        <v>19.001999999999999</v>
      </c>
      <c r="G66" s="22">
        <f t="shared" si="1"/>
        <v>74.305884078610092</v>
      </c>
      <c r="H66" s="45">
        <f t="shared" si="2"/>
        <v>10.832896589290819</v>
      </c>
      <c r="I66" s="42">
        <f t="shared" si="3"/>
        <v>85.138780667900903</v>
      </c>
      <c r="J66" s="30">
        <f t="shared" si="5"/>
        <v>310</v>
      </c>
      <c r="K66" s="195"/>
      <c r="L66" s="27">
        <f t="shared" si="4"/>
        <v>395.1387806679009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4022955</v>
      </c>
      <c r="E67" s="1">
        <v>4032760</v>
      </c>
      <c r="F67" s="41">
        <f t="shared" si="9"/>
        <v>9.8049999999999997</v>
      </c>
      <c r="G67" s="22">
        <f t="shared" si="1"/>
        <v>38.341711050982632</v>
      </c>
      <c r="H67" s="45">
        <f t="shared" si="2"/>
        <v>10.832896589290819</v>
      </c>
      <c r="I67" s="42">
        <f t="shared" si="3"/>
        <v>49.17460764027345</v>
      </c>
      <c r="J67" s="30">
        <f t="shared" si="5"/>
        <v>310</v>
      </c>
      <c r="K67" s="195"/>
      <c r="L67" s="27">
        <f t="shared" si="4"/>
        <v>359.17460764027345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4105285</v>
      </c>
      <c r="E68" s="1">
        <v>4137697</v>
      </c>
      <c r="F68" s="41">
        <f t="shared" si="9"/>
        <v>32.411999999999999</v>
      </c>
      <c r="G68" s="22">
        <f t="shared" ref="G68:G131" si="10">MMULT($G$1,1/$F$183)*F68</f>
        <v>126.74467502136145</v>
      </c>
      <c r="H68" s="45">
        <f t="shared" ref="H68:H131" si="11">MMULT($H$1,1/180)</f>
        <v>10.832896589290819</v>
      </c>
      <c r="I68" s="42">
        <f t="shared" ref="I68:I131" si="12">SUM(G68,H68)</f>
        <v>137.57757161065226</v>
      </c>
      <c r="J68" s="30">
        <f t="shared" si="5"/>
        <v>310</v>
      </c>
      <c r="K68" s="195"/>
      <c r="L68" s="27">
        <f t="shared" ref="L68:L131" si="13">SUM(I68,J68,K68)</f>
        <v>447.57757161065229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2481252</v>
      </c>
      <c r="E69" s="1">
        <v>2482633</v>
      </c>
      <c r="F69" s="41">
        <f t="shared" si="9"/>
        <v>1.381</v>
      </c>
      <c r="G69" s="22">
        <f t="shared" si="10"/>
        <v>5.4002960694958713</v>
      </c>
      <c r="H69" s="45">
        <f t="shared" si="11"/>
        <v>10.832896589290819</v>
      </c>
      <c r="I69" s="42">
        <f t="shared" si="12"/>
        <v>16.233192658786692</v>
      </c>
      <c r="J69" s="30">
        <f t="shared" ref="J69:J132" si="14">SUM($J$3)</f>
        <v>310</v>
      </c>
      <c r="K69" s="195"/>
      <c r="L69" s="27">
        <f t="shared" si="13"/>
        <v>326.23319265878672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2354263</v>
      </c>
      <c r="E70" s="1">
        <v>2369983</v>
      </c>
      <c r="F70" s="41">
        <f t="shared" si="9"/>
        <v>15.72</v>
      </c>
      <c r="G70" s="22">
        <f t="shared" si="10"/>
        <v>61.471871261748802</v>
      </c>
      <c r="H70" s="45">
        <f t="shared" si="11"/>
        <v>10.832896589290819</v>
      </c>
      <c r="I70" s="42">
        <f t="shared" si="12"/>
        <v>72.304767851039628</v>
      </c>
      <c r="J70" s="30">
        <f t="shared" si="14"/>
        <v>310</v>
      </c>
      <c r="K70" s="195"/>
      <c r="L70" s="27">
        <f t="shared" si="13"/>
        <v>382.30476785103963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3824842</v>
      </c>
      <c r="E71" s="1">
        <v>3839088</v>
      </c>
      <c r="F71" s="41">
        <f t="shared" si="9"/>
        <v>14.246</v>
      </c>
      <c r="G71" s="22">
        <f t="shared" si="10"/>
        <v>55.707905724864723</v>
      </c>
      <c r="H71" s="45">
        <f t="shared" si="11"/>
        <v>10.832896589290819</v>
      </c>
      <c r="I71" s="42">
        <f t="shared" si="12"/>
        <v>66.540802314155542</v>
      </c>
      <c r="J71" s="30">
        <f t="shared" si="14"/>
        <v>310</v>
      </c>
      <c r="K71" s="195"/>
      <c r="L71" s="27">
        <f t="shared" si="13"/>
        <v>376.54080231415554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3028352</v>
      </c>
      <c r="E72" s="1">
        <v>3047654</v>
      </c>
      <c r="F72" s="41">
        <f t="shared" si="9"/>
        <v>19.302</v>
      </c>
      <c r="G72" s="22">
        <f t="shared" si="10"/>
        <v>75.479011392765599</v>
      </c>
      <c r="H72" s="45">
        <f t="shared" si="11"/>
        <v>10.832896589290819</v>
      </c>
      <c r="I72" s="42">
        <f t="shared" si="12"/>
        <v>86.311907982056425</v>
      </c>
      <c r="J72" s="30">
        <f t="shared" si="14"/>
        <v>310</v>
      </c>
      <c r="K72" s="195"/>
      <c r="L72" s="27">
        <f t="shared" si="13"/>
        <v>396.31190798205643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3435607</v>
      </c>
      <c r="E73" s="1">
        <v>3445588</v>
      </c>
      <c r="F73" s="41">
        <f t="shared" si="9"/>
        <v>9.9809999999999999</v>
      </c>
      <c r="G73" s="22">
        <f t="shared" si="10"/>
        <v>39.029945741953867</v>
      </c>
      <c r="H73" s="45">
        <f t="shared" si="11"/>
        <v>10.832896589290819</v>
      </c>
      <c r="I73" s="42">
        <f t="shared" si="12"/>
        <v>49.862842331244686</v>
      </c>
      <c r="J73" s="30">
        <f t="shared" si="14"/>
        <v>310</v>
      </c>
      <c r="K73" s="195"/>
      <c r="L73" s="27">
        <f t="shared" si="13"/>
        <v>359.86284233124468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1431423</v>
      </c>
      <c r="E74" s="1">
        <v>1439259</v>
      </c>
      <c r="F74" s="41">
        <f t="shared" si="9"/>
        <v>7.8360000000000003</v>
      </c>
      <c r="G74" s="22">
        <f t="shared" si="10"/>
        <v>30.642085445741959</v>
      </c>
      <c r="H74" s="45">
        <f t="shared" si="11"/>
        <v>10.832896589290819</v>
      </c>
      <c r="I74" s="42">
        <f t="shared" si="12"/>
        <v>41.474982035032781</v>
      </c>
      <c r="J74" s="30">
        <f t="shared" si="14"/>
        <v>310</v>
      </c>
      <c r="K74" s="195"/>
      <c r="L74" s="27">
        <f t="shared" si="13"/>
        <v>351.47498203503278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4652190</v>
      </c>
      <c r="E75" s="1">
        <v>4675686</v>
      </c>
      <c r="F75" s="41">
        <f t="shared" si="9"/>
        <v>23.496000000000002</v>
      </c>
      <c r="G75" s="22">
        <f t="shared" si="10"/>
        <v>91.879331244659667</v>
      </c>
      <c r="H75" s="45">
        <f t="shared" si="11"/>
        <v>10.832896589290819</v>
      </c>
      <c r="I75" s="42">
        <f t="shared" si="12"/>
        <v>102.71222783395049</v>
      </c>
      <c r="J75" s="30">
        <f t="shared" si="14"/>
        <v>310</v>
      </c>
      <c r="K75" s="195"/>
      <c r="L75" s="27">
        <f t="shared" si="13"/>
        <v>412.71222783395046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2780890</v>
      </c>
      <c r="E76" s="1">
        <v>2800719</v>
      </c>
      <c r="F76" s="41">
        <f t="shared" si="9"/>
        <v>19.829000000000001</v>
      </c>
      <c r="G76" s="22">
        <f t="shared" si="10"/>
        <v>77.539805041298791</v>
      </c>
      <c r="H76" s="45">
        <f t="shared" si="11"/>
        <v>10.832896589290819</v>
      </c>
      <c r="I76" s="42">
        <f t="shared" si="12"/>
        <v>88.372701630589603</v>
      </c>
      <c r="J76" s="30">
        <f t="shared" si="14"/>
        <v>310</v>
      </c>
      <c r="K76" s="195"/>
      <c r="L76" s="27">
        <f t="shared" si="13"/>
        <v>398.37270163058963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2571044</v>
      </c>
      <c r="E77" s="1">
        <v>2594340</v>
      </c>
      <c r="F77" s="41">
        <f t="shared" si="9"/>
        <v>23.295999999999999</v>
      </c>
      <c r="G77" s="22">
        <f t="shared" si="10"/>
        <v>91.097246368555972</v>
      </c>
      <c r="H77" s="45">
        <f t="shared" si="11"/>
        <v>10.832896589290819</v>
      </c>
      <c r="I77" s="42">
        <f t="shared" si="12"/>
        <v>101.93014295784678</v>
      </c>
      <c r="J77" s="30">
        <f t="shared" si="14"/>
        <v>310</v>
      </c>
      <c r="K77" s="195"/>
      <c r="L77" s="27">
        <f t="shared" si="13"/>
        <v>411.93014295784678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2708915</v>
      </c>
      <c r="E78" s="1">
        <v>2716414</v>
      </c>
      <c r="F78" s="41">
        <f t="shared" si="9"/>
        <v>7.4990000000000006</v>
      </c>
      <c r="G78" s="22">
        <f t="shared" si="10"/>
        <v>29.324272429507268</v>
      </c>
      <c r="H78" s="45">
        <f t="shared" si="11"/>
        <v>10.832896589290819</v>
      </c>
      <c r="I78" s="42">
        <f t="shared" si="12"/>
        <v>40.157169018798086</v>
      </c>
      <c r="J78" s="30">
        <f t="shared" si="14"/>
        <v>310</v>
      </c>
      <c r="K78" s="195"/>
      <c r="L78" s="27">
        <f t="shared" si="13"/>
        <v>350.15716901879807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4533499</v>
      </c>
      <c r="E79" s="1">
        <v>4579056</v>
      </c>
      <c r="F79" s="41">
        <f t="shared" si="9"/>
        <v>45.557000000000002</v>
      </c>
      <c r="G79" s="22">
        <f t="shared" si="10"/>
        <v>178.14720350327545</v>
      </c>
      <c r="H79" s="45">
        <f t="shared" si="11"/>
        <v>10.832896589290819</v>
      </c>
      <c r="I79" s="42">
        <f t="shared" si="12"/>
        <v>188.98010009256626</v>
      </c>
      <c r="J79" s="30">
        <f t="shared" si="14"/>
        <v>310</v>
      </c>
      <c r="K79" s="195"/>
      <c r="L79" s="27">
        <f t="shared" si="13"/>
        <v>498.98010009256626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4833933</v>
      </c>
      <c r="E80" s="1">
        <v>4847540</v>
      </c>
      <c r="F80" s="41">
        <f t="shared" si="9"/>
        <v>13.607000000000001</v>
      </c>
      <c r="G80" s="22">
        <f t="shared" si="10"/>
        <v>53.209144545713485</v>
      </c>
      <c r="H80" s="45">
        <f t="shared" si="11"/>
        <v>10.832896589290819</v>
      </c>
      <c r="I80" s="42">
        <f t="shared" si="12"/>
        <v>64.042041135004297</v>
      </c>
      <c r="J80" s="30">
        <f t="shared" si="14"/>
        <v>310</v>
      </c>
      <c r="K80" s="195"/>
      <c r="L80" s="27">
        <f t="shared" si="13"/>
        <v>374.0420411350043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3101735</v>
      </c>
      <c r="E81" s="1">
        <v>3104836</v>
      </c>
      <c r="F81" s="41">
        <f t="shared" si="9"/>
        <v>3.101</v>
      </c>
      <c r="G81" s="22">
        <f t="shared" si="10"/>
        <v>12.126226003987469</v>
      </c>
      <c r="H81" s="45">
        <f t="shared" si="11"/>
        <v>10.832896589290819</v>
      </c>
      <c r="I81" s="42">
        <f t="shared" si="12"/>
        <v>22.959122593278288</v>
      </c>
      <c r="J81" s="30">
        <f t="shared" si="14"/>
        <v>310</v>
      </c>
      <c r="K81" s="195">
        <v>10</v>
      </c>
      <c r="L81" s="27">
        <f t="shared" si="13"/>
        <v>342.95912259327827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3355990</v>
      </c>
      <c r="E82" s="1">
        <v>3382686</v>
      </c>
      <c r="F82" s="41">
        <f t="shared" si="9"/>
        <v>26.696000000000002</v>
      </c>
      <c r="G82" s="22">
        <f t="shared" si="10"/>
        <v>104.39268926231844</v>
      </c>
      <c r="H82" s="45">
        <f t="shared" si="11"/>
        <v>10.832896589290819</v>
      </c>
      <c r="I82" s="42">
        <f t="shared" si="12"/>
        <v>115.22558585160925</v>
      </c>
      <c r="J82" s="30">
        <f t="shared" si="14"/>
        <v>310</v>
      </c>
      <c r="K82" s="195"/>
      <c r="L82" s="27">
        <f t="shared" si="13"/>
        <v>425.22558585160925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4630667</v>
      </c>
      <c r="E83" s="1">
        <v>4660394</v>
      </c>
      <c r="F83" s="41">
        <f t="shared" si="9"/>
        <v>29.727</v>
      </c>
      <c r="G83" s="22">
        <f t="shared" si="10"/>
        <v>116.24518555966962</v>
      </c>
      <c r="H83" s="45">
        <f t="shared" si="11"/>
        <v>10.832896589290819</v>
      </c>
      <c r="I83" s="42">
        <f t="shared" si="12"/>
        <v>127.07808214896045</v>
      </c>
      <c r="J83" s="30">
        <f t="shared" si="14"/>
        <v>310</v>
      </c>
      <c r="K83" s="195"/>
      <c r="L83" s="27">
        <f t="shared" si="13"/>
        <v>437.07808214896045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1746894</v>
      </c>
      <c r="E84" s="1">
        <v>1767874</v>
      </c>
      <c r="F84" s="41">
        <f t="shared" si="9"/>
        <v>20.98</v>
      </c>
      <c r="G84" s="22">
        <f t="shared" si="10"/>
        <v>82.040703503275438</v>
      </c>
      <c r="H84" s="45">
        <f t="shared" si="11"/>
        <v>10.832896589290819</v>
      </c>
      <c r="I84" s="42">
        <f t="shared" si="12"/>
        <v>92.873600092566249</v>
      </c>
      <c r="J84" s="30">
        <f t="shared" si="14"/>
        <v>310</v>
      </c>
      <c r="K84" s="195"/>
      <c r="L84" s="27">
        <f t="shared" si="13"/>
        <v>402.87360009256622</v>
      </c>
    </row>
    <row r="85" spans="1:12" ht="15" customHeight="1" x14ac:dyDescent="0.45">
      <c r="A85" s="318"/>
      <c r="B85" s="5" t="s">
        <v>7</v>
      </c>
      <c r="C85" s="2">
        <v>103</v>
      </c>
      <c r="D85" s="1">
        <v>2992637</v>
      </c>
      <c r="E85" s="1">
        <v>2996539</v>
      </c>
      <c r="F85" s="41">
        <f t="shared" si="9"/>
        <v>3.9020000000000001</v>
      </c>
      <c r="G85" s="22">
        <f t="shared" si="10"/>
        <v>15.258475932782686</v>
      </c>
      <c r="H85" s="45">
        <f t="shared" si="11"/>
        <v>10.832896589290819</v>
      </c>
      <c r="I85" s="42">
        <f t="shared" si="12"/>
        <v>26.091372522073506</v>
      </c>
      <c r="J85" s="30">
        <f t="shared" si="14"/>
        <v>310</v>
      </c>
      <c r="K85" s="195"/>
      <c r="L85" s="27">
        <f t="shared" si="13"/>
        <v>336.09137252207353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2542160</v>
      </c>
      <c r="E86" s="1">
        <v>2556673</v>
      </c>
      <c r="F86" s="41">
        <f t="shared" si="9"/>
        <v>14.513</v>
      </c>
      <c r="G86" s="22">
        <f t="shared" si="10"/>
        <v>56.751989034463122</v>
      </c>
      <c r="H86" s="45">
        <f t="shared" si="11"/>
        <v>10.832896589290819</v>
      </c>
      <c r="I86" s="42">
        <f t="shared" si="12"/>
        <v>67.584885623753934</v>
      </c>
      <c r="J86" s="30">
        <f t="shared" si="14"/>
        <v>310</v>
      </c>
      <c r="K86" s="195"/>
      <c r="L86" s="27">
        <f t="shared" si="13"/>
        <v>377.58488562375396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5061247</v>
      </c>
      <c r="E87" s="1">
        <v>5086747</v>
      </c>
      <c r="F87" s="41">
        <f t="shared" si="9"/>
        <v>25.5</v>
      </c>
      <c r="G87" s="22">
        <f t="shared" si="10"/>
        <v>99.715821703218467</v>
      </c>
      <c r="H87" s="45">
        <f t="shared" si="11"/>
        <v>10.832896589290819</v>
      </c>
      <c r="I87" s="42">
        <f t="shared" si="12"/>
        <v>110.54871829250928</v>
      </c>
      <c r="J87" s="30">
        <f t="shared" si="14"/>
        <v>310</v>
      </c>
      <c r="K87" s="195"/>
      <c r="L87" s="27">
        <f t="shared" si="13"/>
        <v>420.54871829250931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27444</v>
      </c>
      <c r="E88" s="1">
        <v>27444</v>
      </c>
      <c r="F88" s="41">
        <f>(E88-D88)*0.01</f>
        <v>0</v>
      </c>
      <c r="G88" s="22">
        <f t="shared" si="10"/>
        <v>0</v>
      </c>
      <c r="H88" s="45">
        <f t="shared" si="11"/>
        <v>10.832896589290819</v>
      </c>
      <c r="I88" s="42">
        <f t="shared" si="12"/>
        <v>10.832896589290819</v>
      </c>
      <c r="J88" s="30">
        <f t="shared" si="14"/>
        <v>310</v>
      </c>
      <c r="K88" s="195"/>
      <c r="L88" s="27">
        <f t="shared" si="13"/>
        <v>320.83289658929084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4336579</v>
      </c>
      <c r="E89" s="1">
        <v>4371490</v>
      </c>
      <c r="F89" s="41">
        <f>(E89-D89)*$N$1</f>
        <v>34.911000000000001</v>
      </c>
      <c r="G89" s="22">
        <f t="shared" si="10"/>
        <v>136.51682554827687</v>
      </c>
      <c r="H89" s="45">
        <f t="shared" si="11"/>
        <v>10.832896589290819</v>
      </c>
      <c r="I89" s="42">
        <f t="shared" si="12"/>
        <v>147.34972213756768</v>
      </c>
      <c r="J89" s="30">
        <f t="shared" si="14"/>
        <v>310</v>
      </c>
      <c r="K89" s="195"/>
      <c r="L89" s="27">
        <f t="shared" si="13"/>
        <v>457.34972213756771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133021</v>
      </c>
      <c r="E90" s="1">
        <v>133025</v>
      </c>
      <c r="F90" s="41">
        <f>(E90-D90)*0.01</f>
        <v>0.04</v>
      </c>
      <c r="G90" s="22">
        <f t="shared" si="10"/>
        <v>0.15641697522073486</v>
      </c>
      <c r="H90" s="45">
        <f t="shared" si="11"/>
        <v>10.832896589290819</v>
      </c>
      <c r="I90" s="42">
        <f t="shared" si="12"/>
        <v>10.989313564511553</v>
      </c>
      <c r="J90" s="30">
        <f t="shared" si="14"/>
        <v>310</v>
      </c>
      <c r="K90" s="195"/>
      <c r="L90" s="27">
        <f t="shared" si="13"/>
        <v>320.98931356451158</v>
      </c>
    </row>
    <row r="91" spans="1:12" ht="15" customHeight="1" x14ac:dyDescent="0.45">
      <c r="A91" s="318"/>
      <c r="B91" s="5" t="s">
        <v>7</v>
      </c>
      <c r="C91" s="2">
        <v>301</v>
      </c>
      <c r="D91" s="1">
        <v>4910673</v>
      </c>
      <c r="E91" s="1">
        <v>4937918</v>
      </c>
      <c r="F91" s="41">
        <f t="shared" ref="F91:F103" si="15">(E91-D91)*$N$1</f>
        <v>27.245000000000001</v>
      </c>
      <c r="G91" s="22">
        <f t="shared" si="10"/>
        <v>106.53951224722303</v>
      </c>
      <c r="H91" s="45">
        <f t="shared" si="11"/>
        <v>10.832896589290819</v>
      </c>
      <c r="I91" s="42">
        <f t="shared" si="12"/>
        <v>117.37240883651384</v>
      </c>
      <c r="J91" s="30">
        <f t="shared" si="14"/>
        <v>310</v>
      </c>
      <c r="K91" s="195">
        <v>10</v>
      </c>
      <c r="L91" s="27">
        <f t="shared" si="13"/>
        <v>437.37240883651384</v>
      </c>
    </row>
    <row r="92" spans="1:12" ht="15" customHeight="1" x14ac:dyDescent="0.45">
      <c r="A92" s="318"/>
      <c r="B92" s="5" t="s">
        <v>7</v>
      </c>
      <c r="C92" s="2">
        <v>302</v>
      </c>
      <c r="D92" s="1">
        <v>3318775</v>
      </c>
      <c r="E92" s="1">
        <v>3353199</v>
      </c>
      <c r="F92" s="41">
        <f t="shared" si="15"/>
        <v>34.423999999999999</v>
      </c>
      <c r="G92" s="22">
        <f t="shared" si="10"/>
        <v>134.6124488749644</v>
      </c>
      <c r="H92" s="45">
        <f t="shared" si="11"/>
        <v>10.832896589290819</v>
      </c>
      <c r="I92" s="42">
        <f t="shared" si="12"/>
        <v>145.44534546425521</v>
      </c>
      <c r="J92" s="30">
        <f t="shared" si="14"/>
        <v>310</v>
      </c>
      <c r="K92" s="195"/>
      <c r="L92" s="27">
        <f t="shared" si="13"/>
        <v>455.44534546425518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4551273</v>
      </c>
      <c r="E93" s="1">
        <v>4600967</v>
      </c>
      <c r="F93" s="41">
        <f t="shared" si="15"/>
        <v>49.694000000000003</v>
      </c>
      <c r="G93" s="22">
        <f t="shared" si="10"/>
        <v>194.32462916547996</v>
      </c>
      <c r="H93" s="45">
        <f t="shared" si="11"/>
        <v>10.832896589290819</v>
      </c>
      <c r="I93" s="42">
        <f t="shared" si="12"/>
        <v>205.15752575477077</v>
      </c>
      <c r="J93" s="30">
        <f t="shared" si="14"/>
        <v>310</v>
      </c>
      <c r="K93" s="195">
        <v>10</v>
      </c>
      <c r="L93" s="27">
        <f t="shared" si="13"/>
        <v>525.15752575477075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2415623</v>
      </c>
      <c r="E94" s="1">
        <v>2427633</v>
      </c>
      <c r="F94" s="41">
        <f t="shared" si="15"/>
        <v>12.01</v>
      </c>
      <c r="G94" s="22">
        <f t="shared" si="10"/>
        <v>46.964196810025641</v>
      </c>
      <c r="H94" s="45">
        <f t="shared" si="11"/>
        <v>10.832896589290819</v>
      </c>
      <c r="I94" s="42">
        <f t="shared" si="12"/>
        <v>57.797093399316459</v>
      </c>
      <c r="J94" s="30">
        <f t="shared" si="14"/>
        <v>310</v>
      </c>
      <c r="K94" s="195"/>
      <c r="L94" s="27">
        <f t="shared" si="13"/>
        <v>367.79709339931645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3737164</v>
      </c>
      <c r="E95" s="1">
        <v>3751696</v>
      </c>
      <c r="F95" s="41">
        <f t="shared" si="15"/>
        <v>14.532</v>
      </c>
      <c r="G95" s="22">
        <f t="shared" si="10"/>
        <v>56.826287097692976</v>
      </c>
      <c r="H95" s="45">
        <f t="shared" si="11"/>
        <v>10.832896589290819</v>
      </c>
      <c r="I95" s="42">
        <f t="shared" si="12"/>
        <v>67.659183686983795</v>
      </c>
      <c r="J95" s="30">
        <f t="shared" si="14"/>
        <v>310</v>
      </c>
      <c r="K95" s="195"/>
      <c r="L95" s="27">
        <f t="shared" si="13"/>
        <v>377.65918368698379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3216615</v>
      </c>
      <c r="E96" s="1">
        <v>3232262</v>
      </c>
      <c r="F96" s="41">
        <f t="shared" si="15"/>
        <v>15.647</v>
      </c>
      <c r="G96" s="22">
        <f t="shared" si="10"/>
        <v>61.186410281970957</v>
      </c>
      <c r="H96" s="45">
        <f t="shared" si="11"/>
        <v>10.832896589290819</v>
      </c>
      <c r="I96" s="42">
        <f t="shared" si="12"/>
        <v>72.019306871261776</v>
      </c>
      <c r="J96" s="30">
        <f t="shared" si="14"/>
        <v>310</v>
      </c>
      <c r="K96" s="195"/>
      <c r="L96" s="27">
        <f t="shared" si="13"/>
        <v>382.01930687126179</v>
      </c>
    </row>
    <row r="97" spans="1:12" ht="15" customHeight="1" x14ac:dyDescent="0.45">
      <c r="A97" s="318"/>
      <c r="B97" s="5" t="s">
        <v>7</v>
      </c>
      <c r="C97" s="2">
        <v>403</v>
      </c>
      <c r="D97" s="1">
        <v>2962300</v>
      </c>
      <c r="E97" s="1">
        <v>2972199</v>
      </c>
      <c r="F97" s="41">
        <f t="shared" si="15"/>
        <v>9.8990000000000009</v>
      </c>
      <c r="G97" s="22">
        <f t="shared" si="10"/>
        <v>38.709290942751359</v>
      </c>
      <c r="H97" s="45">
        <f t="shared" si="11"/>
        <v>10.832896589290819</v>
      </c>
      <c r="I97" s="42">
        <f t="shared" si="12"/>
        <v>49.542187532042178</v>
      </c>
      <c r="J97" s="30">
        <f t="shared" si="14"/>
        <v>310</v>
      </c>
      <c r="K97" s="195"/>
      <c r="L97" s="27">
        <f t="shared" si="13"/>
        <v>359.54218753204219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3102207</v>
      </c>
      <c r="E98" s="1">
        <v>3119133</v>
      </c>
      <c r="F98" s="41">
        <f t="shared" si="15"/>
        <v>16.926000000000002</v>
      </c>
      <c r="G98" s="22">
        <f t="shared" si="10"/>
        <v>66.187843064653961</v>
      </c>
      <c r="H98" s="45">
        <f t="shared" si="11"/>
        <v>10.832896589290819</v>
      </c>
      <c r="I98" s="42">
        <f t="shared" si="12"/>
        <v>77.020739653944787</v>
      </c>
      <c r="J98" s="30">
        <f t="shared" si="14"/>
        <v>310</v>
      </c>
      <c r="K98" s="195"/>
      <c r="L98" s="27">
        <f t="shared" si="13"/>
        <v>387.02073965394482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2699805</v>
      </c>
      <c r="E99" s="1">
        <v>2714695</v>
      </c>
      <c r="F99" s="41">
        <f t="shared" si="15"/>
        <v>14.89</v>
      </c>
      <c r="G99" s="22">
        <f t="shared" si="10"/>
        <v>58.226219025918553</v>
      </c>
      <c r="H99" s="45">
        <f t="shared" si="11"/>
        <v>10.832896589290819</v>
      </c>
      <c r="I99" s="42">
        <f t="shared" si="12"/>
        <v>69.059115615209379</v>
      </c>
      <c r="J99" s="30">
        <f t="shared" si="14"/>
        <v>310</v>
      </c>
      <c r="K99" s="195"/>
      <c r="L99" s="27">
        <f t="shared" si="13"/>
        <v>379.05911561520941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2483537</v>
      </c>
      <c r="E100" s="1">
        <v>2492754</v>
      </c>
      <c r="F100" s="41">
        <f t="shared" si="15"/>
        <v>9.2170000000000005</v>
      </c>
      <c r="G100" s="22">
        <f t="shared" si="10"/>
        <v>36.042381515237828</v>
      </c>
      <c r="H100" s="45">
        <f t="shared" si="11"/>
        <v>10.832896589290819</v>
      </c>
      <c r="I100" s="42">
        <f t="shared" si="12"/>
        <v>46.875278104528647</v>
      </c>
      <c r="J100" s="30">
        <f t="shared" si="14"/>
        <v>310</v>
      </c>
      <c r="K100" s="195"/>
      <c r="L100" s="27">
        <f t="shared" si="13"/>
        <v>356.87527810452866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3037891</v>
      </c>
      <c r="E101" s="1">
        <v>3060846</v>
      </c>
      <c r="F101" s="41">
        <f t="shared" si="15"/>
        <v>22.955000000000002</v>
      </c>
      <c r="G101" s="22">
        <f t="shared" si="10"/>
        <v>89.763791654799221</v>
      </c>
      <c r="H101" s="45">
        <f t="shared" si="11"/>
        <v>10.832896589290819</v>
      </c>
      <c r="I101" s="42">
        <f t="shared" si="12"/>
        <v>100.59668824409005</v>
      </c>
      <c r="J101" s="30">
        <f t="shared" si="14"/>
        <v>310</v>
      </c>
      <c r="K101" s="195">
        <v>10</v>
      </c>
      <c r="L101" s="27">
        <f t="shared" si="13"/>
        <v>420.59668824409005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4008184</v>
      </c>
      <c r="E102" s="1">
        <v>4033462</v>
      </c>
      <c r="F102" s="41">
        <f t="shared" si="15"/>
        <v>25.278000000000002</v>
      </c>
      <c r="G102" s="22">
        <f t="shared" si="10"/>
        <v>98.847707490743403</v>
      </c>
      <c r="H102" s="45">
        <f t="shared" si="11"/>
        <v>10.832896589290819</v>
      </c>
      <c r="I102" s="42">
        <f t="shared" si="12"/>
        <v>109.68060408003421</v>
      </c>
      <c r="J102" s="30">
        <f t="shared" si="14"/>
        <v>310</v>
      </c>
      <c r="K102" s="195"/>
      <c r="L102" s="27">
        <f t="shared" si="13"/>
        <v>419.68060408003419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3642296</v>
      </c>
      <c r="E103" s="1">
        <v>3672246</v>
      </c>
      <c r="F103" s="41">
        <f t="shared" si="15"/>
        <v>29.95</v>
      </c>
      <c r="G103" s="22">
        <f t="shared" si="10"/>
        <v>117.11721019652522</v>
      </c>
      <c r="H103" s="45">
        <f t="shared" si="11"/>
        <v>10.832896589290819</v>
      </c>
      <c r="I103" s="42">
        <f t="shared" si="12"/>
        <v>127.95010678581605</v>
      </c>
      <c r="J103" s="30">
        <f t="shared" si="14"/>
        <v>310</v>
      </c>
      <c r="K103" s="195"/>
      <c r="L103" s="27">
        <f t="shared" si="13"/>
        <v>437.95010678581605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141416</v>
      </c>
      <c r="E104" s="1">
        <v>144312</v>
      </c>
      <c r="F104" s="41">
        <f>(E104-D104)*0.01</f>
        <v>28.96</v>
      </c>
      <c r="G104" s="22">
        <f t="shared" si="10"/>
        <v>113.24589005981204</v>
      </c>
      <c r="H104" s="45">
        <f t="shared" si="11"/>
        <v>10.832896589290819</v>
      </c>
      <c r="I104" s="42">
        <f t="shared" si="12"/>
        <v>124.07878664910285</v>
      </c>
      <c r="J104" s="30">
        <f t="shared" si="14"/>
        <v>310</v>
      </c>
      <c r="K104" s="195"/>
      <c r="L104" s="27">
        <f t="shared" si="13"/>
        <v>434.07878664910288</v>
      </c>
    </row>
    <row r="105" spans="1:12" ht="15" customHeight="1" x14ac:dyDescent="0.45">
      <c r="A105" s="314"/>
      <c r="B105" s="237" t="s">
        <v>8</v>
      </c>
      <c r="C105" s="235">
        <v>103</v>
      </c>
      <c r="D105" s="1">
        <v>13289</v>
      </c>
      <c r="E105" s="1">
        <v>23631</v>
      </c>
      <c r="F105" s="41">
        <f t="shared" ref="F105:F123" si="16">(E105-D105)*$N$1</f>
        <v>10.342000000000001</v>
      </c>
      <c r="G105" s="22">
        <f t="shared" si="10"/>
        <v>40.441608943321</v>
      </c>
      <c r="H105" s="45">
        <f t="shared" si="11"/>
        <v>10.832896589290819</v>
      </c>
      <c r="I105" s="42">
        <f t="shared" si="12"/>
        <v>51.274505532611819</v>
      </c>
      <c r="J105" s="30">
        <f t="shared" si="14"/>
        <v>310</v>
      </c>
      <c r="K105" s="195">
        <v>10</v>
      </c>
      <c r="L105" s="27">
        <f t="shared" si="13"/>
        <v>371.27450553261184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438861</v>
      </c>
      <c r="E106" s="1">
        <v>438861</v>
      </c>
      <c r="F106" s="41">
        <f t="shared" si="16"/>
        <v>0</v>
      </c>
      <c r="G106" s="22">
        <f t="shared" si="10"/>
        <v>0</v>
      </c>
      <c r="H106" s="45">
        <f t="shared" si="11"/>
        <v>10.832896589290819</v>
      </c>
      <c r="I106" s="42">
        <f t="shared" si="12"/>
        <v>10.832896589290819</v>
      </c>
      <c r="J106" s="30">
        <f t="shared" si="14"/>
        <v>310</v>
      </c>
      <c r="K106" s="195"/>
      <c r="L106" s="27">
        <f t="shared" si="13"/>
        <v>320.83289658929084</v>
      </c>
    </row>
    <row r="107" spans="1:12" ht="15" customHeight="1" x14ac:dyDescent="0.45">
      <c r="A107" s="314"/>
      <c r="B107" s="237" t="s">
        <v>8</v>
      </c>
      <c r="C107" s="235">
        <v>201</v>
      </c>
      <c r="D107" s="1">
        <v>2000</v>
      </c>
      <c r="E107" s="1">
        <v>12000</v>
      </c>
      <c r="F107" s="41">
        <f t="shared" si="16"/>
        <v>10</v>
      </c>
      <c r="G107" s="22">
        <f t="shared" si="10"/>
        <v>39.104243805183714</v>
      </c>
      <c r="H107" s="45">
        <f t="shared" si="11"/>
        <v>10.832896589290819</v>
      </c>
      <c r="I107" s="42">
        <f t="shared" si="12"/>
        <v>49.937140394474532</v>
      </c>
      <c r="J107" s="30">
        <f t="shared" si="14"/>
        <v>310</v>
      </c>
      <c r="K107" s="195"/>
      <c r="L107" s="27">
        <f t="shared" si="13"/>
        <v>359.93714039447451</v>
      </c>
    </row>
    <row r="108" spans="1:12" ht="15" customHeight="1" x14ac:dyDescent="0.45">
      <c r="A108" s="314"/>
      <c r="B108" s="237" t="s">
        <v>8</v>
      </c>
      <c r="C108" s="235">
        <v>202</v>
      </c>
      <c r="D108" s="1">
        <v>22161</v>
      </c>
      <c r="E108" s="1">
        <v>44452</v>
      </c>
      <c r="F108" s="41">
        <f t="shared" si="16"/>
        <v>22.291</v>
      </c>
      <c r="G108" s="22">
        <f t="shared" si="10"/>
        <v>87.167269866135015</v>
      </c>
      <c r="H108" s="45">
        <f t="shared" si="11"/>
        <v>10.832896589290819</v>
      </c>
      <c r="I108" s="42">
        <f t="shared" si="12"/>
        <v>98.000166455425841</v>
      </c>
      <c r="J108" s="30">
        <f t="shared" si="14"/>
        <v>310</v>
      </c>
      <c r="K108" s="195"/>
      <c r="L108" s="27">
        <f t="shared" si="13"/>
        <v>408.00016645542587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3532809</v>
      </c>
      <c r="E109" s="1">
        <v>3544058</v>
      </c>
      <c r="F109" s="41">
        <f t="shared" si="16"/>
        <v>11.249000000000001</v>
      </c>
      <c r="G109" s="22">
        <f t="shared" si="10"/>
        <v>43.988363856451159</v>
      </c>
      <c r="H109" s="45">
        <f t="shared" si="11"/>
        <v>10.832896589290819</v>
      </c>
      <c r="I109" s="42">
        <f t="shared" si="12"/>
        <v>54.821260445741977</v>
      </c>
      <c r="J109" s="30">
        <f t="shared" si="14"/>
        <v>310</v>
      </c>
      <c r="K109" s="195"/>
      <c r="L109" s="27">
        <f t="shared" si="13"/>
        <v>364.82126044574198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1835021</v>
      </c>
      <c r="E110" s="1">
        <v>1858942</v>
      </c>
      <c r="F110" s="41">
        <f t="shared" si="16"/>
        <v>23.920999999999999</v>
      </c>
      <c r="G110" s="22">
        <f t="shared" si="10"/>
        <v>93.541261606379962</v>
      </c>
      <c r="H110" s="45">
        <f t="shared" si="11"/>
        <v>10.832896589290819</v>
      </c>
      <c r="I110" s="42">
        <f t="shared" si="12"/>
        <v>104.37415819567079</v>
      </c>
      <c r="J110" s="30">
        <f t="shared" si="14"/>
        <v>310</v>
      </c>
      <c r="K110" s="195"/>
      <c r="L110" s="27">
        <f t="shared" si="13"/>
        <v>414.37415819567082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3587131</v>
      </c>
      <c r="E111" s="1">
        <v>3599911</v>
      </c>
      <c r="F111" s="41">
        <f t="shared" si="16"/>
        <v>12.780000000000001</v>
      </c>
      <c r="G111" s="22">
        <f t="shared" si="10"/>
        <v>49.975223583024793</v>
      </c>
      <c r="H111" s="45">
        <f t="shared" si="11"/>
        <v>10.832896589290819</v>
      </c>
      <c r="I111" s="42">
        <f t="shared" si="12"/>
        <v>60.808120172315611</v>
      </c>
      <c r="J111" s="30">
        <f t="shared" si="14"/>
        <v>310</v>
      </c>
      <c r="K111" s="195"/>
      <c r="L111" s="27">
        <f t="shared" si="13"/>
        <v>370.80812017231563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3295501</v>
      </c>
      <c r="E112" s="1">
        <v>3305192</v>
      </c>
      <c r="F112" s="41">
        <f t="shared" si="16"/>
        <v>9.6910000000000007</v>
      </c>
      <c r="G112" s="22">
        <f t="shared" si="10"/>
        <v>37.895922671603543</v>
      </c>
      <c r="H112" s="45">
        <f t="shared" si="11"/>
        <v>10.832896589290819</v>
      </c>
      <c r="I112" s="42">
        <f t="shared" si="12"/>
        <v>48.728819260894362</v>
      </c>
      <c r="J112" s="30">
        <f t="shared" si="14"/>
        <v>310</v>
      </c>
      <c r="K112" s="195"/>
      <c r="L112" s="27">
        <f t="shared" si="13"/>
        <v>358.72881926089434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3518255</v>
      </c>
      <c r="E113" s="1">
        <v>3545177</v>
      </c>
      <c r="F113" s="41">
        <f t="shared" si="16"/>
        <v>26.922000000000001</v>
      </c>
      <c r="G113" s="22">
        <f t="shared" si="10"/>
        <v>105.27644517231559</v>
      </c>
      <c r="H113" s="45">
        <f t="shared" si="11"/>
        <v>10.832896589290819</v>
      </c>
      <c r="I113" s="42">
        <f t="shared" si="12"/>
        <v>116.1093417616064</v>
      </c>
      <c r="J113" s="30">
        <f t="shared" si="14"/>
        <v>310</v>
      </c>
      <c r="K113" s="195"/>
      <c r="L113" s="27">
        <f t="shared" si="13"/>
        <v>426.1093417616064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2702051</v>
      </c>
      <c r="E114" s="1">
        <v>2713886</v>
      </c>
      <c r="F114" s="41">
        <f t="shared" si="16"/>
        <v>11.835000000000001</v>
      </c>
      <c r="G114" s="22">
        <f t="shared" si="10"/>
        <v>46.279872543434927</v>
      </c>
      <c r="H114" s="45">
        <f t="shared" si="11"/>
        <v>10.832896589290819</v>
      </c>
      <c r="I114" s="42">
        <f t="shared" si="12"/>
        <v>57.112769132725745</v>
      </c>
      <c r="J114" s="30">
        <f t="shared" si="14"/>
        <v>310</v>
      </c>
      <c r="K114" s="195"/>
      <c r="L114" s="27">
        <f t="shared" si="13"/>
        <v>367.11276913272576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2716620</v>
      </c>
      <c r="E115" s="1">
        <v>2729676</v>
      </c>
      <c r="F115" s="41">
        <f t="shared" si="16"/>
        <v>13.056000000000001</v>
      </c>
      <c r="G115" s="22">
        <f t="shared" si="10"/>
        <v>51.054500712047862</v>
      </c>
      <c r="H115" s="45">
        <f t="shared" si="11"/>
        <v>10.832896589290819</v>
      </c>
      <c r="I115" s="42">
        <f t="shared" si="12"/>
        <v>61.88739730133868</v>
      </c>
      <c r="J115" s="30">
        <f t="shared" si="14"/>
        <v>310</v>
      </c>
      <c r="K115" s="195"/>
      <c r="L115" s="27">
        <f t="shared" si="13"/>
        <v>371.88739730133869</v>
      </c>
    </row>
    <row r="116" spans="1:12" ht="15" customHeight="1" x14ac:dyDescent="0.45">
      <c r="A116" s="314"/>
      <c r="B116" s="237" t="s">
        <v>8</v>
      </c>
      <c r="C116" s="235">
        <v>402</v>
      </c>
      <c r="D116" s="1">
        <v>2222</v>
      </c>
      <c r="E116" s="1">
        <v>2727</v>
      </c>
      <c r="F116" s="41">
        <f t="shared" si="16"/>
        <v>0.505</v>
      </c>
      <c r="G116" s="22">
        <f t="shared" si="10"/>
        <v>1.9747643121617775</v>
      </c>
      <c r="H116" s="45">
        <f t="shared" si="11"/>
        <v>10.832896589290819</v>
      </c>
      <c r="I116" s="42">
        <f t="shared" si="12"/>
        <v>12.807660901452596</v>
      </c>
      <c r="J116" s="30">
        <f t="shared" si="14"/>
        <v>310</v>
      </c>
      <c r="K116" s="195"/>
      <c r="L116" s="27">
        <f t="shared" si="13"/>
        <v>322.80766090145261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525648</v>
      </c>
      <c r="E117" s="1">
        <v>526585</v>
      </c>
      <c r="F117" s="41">
        <f t="shared" si="16"/>
        <v>0.93700000000000006</v>
      </c>
      <c r="G117" s="22">
        <f t="shared" si="10"/>
        <v>3.6640676445457143</v>
      </c>
      <c r="H117" s="45">
        <f t="shared" si="11"/>
        <v>10.832896589290819</v>
      </c>
      <c r="I117" s="42">
        <f t="shared" si="12"/>
        <v>14.496964233836533</v>
      </c>
      <c r="J117" s="30">
        <f t="shared" si="14"/>
        <v>310</v>
      </c>
      <c r="K117" s="195"/>
      <c r="L117" s="27">
        <f t="shared" si="13"/>
        <v>324.49696423383654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2652828</v>
      </c>
      <c r="E118" s="1">
        <v>2654117</v>
      </c>
      <c r="F118" s="41">
        <f t="shared" si="16"/>
        <v>1.2889999999999999</v>
      </c>
      <c r="G118" s="22">
        <f t="shared" si="10"/>
        <v>5.0405370264881801</v>
      </c>
      <c r="H118" s="45">
        <f t="shared" si="11"/>
        <v>10.832896589290819</v>
      </c>
      <c r="I118" s="42">
        <f t="shared" si="12"/>
        <v>15.873433615779</v>
      </c>
      <c r="J118" s="30">
        <f t="shared" si="14"/>
        <v>310</v>
      </c>
      <c r="K118" s="195">
        <v>10</v>
      </c>
      <c r="L118" s="27">
        <f t="shared" si="13"/>
        <v>335.87343361577899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2658572</v>
      </c>
      <c r="E119" s="1">
        <v>2677361</v>
      </c>
      <c r="F119" s="41">
        <f t="shared" si="16"/>
        <v>18.789000000000001</v>
      </c>
      <c r="G119" s="22">
        <f t="shared" si="10"/>
        <v>73.472963685559691</v>
      </c>
      <c r="H119" s="45">
        <f t="shared" si="11"/>
        <v>10.832896589290819</v>
      </c>
      <c r="I119" s="42">
        <f t="shared" si="12"/>
        <v>84.305860274850517</v>
      </c>
      <c r="J119" s="30">
        <f t="shared" si="14"/>
        <v>310</v>
      </c>
      <c r="K119" s="195"/>
      <c r="L119" s="27">
        <f t="shared" si="13"/>
        <v>394.30586027485049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5655217</v>
      </c>
      <c r="E120" s="1">
        <v>5693560</v>
      </c>
      <c r="F120" s="41">
        <f t="shared" si="16"/>
        <v>38.343000000000004</v>
      </c>
      <c r="G120" s="22">
        <f t="shared" si="10"/>
        <v>149.93740202221593</v>
      </c>
      <c r="H120" s="45">
        <f t="shared" si="11"/>
        <v>10.832896589290819</v>
      </c>
      <c r="I120" s="42">
        <f t="shared" si="12"/>
        <v>160.77029861150675</v>
      </c>
      <c r="J120" s="30">
        <f t="shared" si="14"/>
        <v>310</v>
      </c>
      <c r="K120" s="195"/>
      <c r="L120" s="27">
        <f t="shared" si="13"/>
        <v>470.77029861150675</v>
      </c>
    </row>
    <row r="121" spans="1:12" ht="15" customHeight="1" x14ac:dyDescent="0.45">
      <c r="A121" s="314"/>
      <c r="B121" s="237" t="s">
        <v>8</v>
      </c>
      <c r="C121" s="235">
        <v>503</v>
      </c>
      <c r="D121" s="1">
        <v>12792</v>
      </c>
      <c r="E121" s="1">
        <v>28513</v>
      </c>
      <c r="F121" s="41">
        <f t="shared" si="16"/>
        <v>15.721</v>
      </c>
      <c r="G121" s="22">
        <f t="shared" si="10"/>
        <v>61.475781686129316</v>
      </c>
      <c r="H121" s="45">
        <f t="shared" si="11"/>
        <v>10.832896589290819</v>
      </c>
      <c r="I121" s="42">
        <f t="shared" si="12"/>
        <v>72.308678275420135</v>
      </c>
      <c r="J121" s="30">
        <f t="shared" si="14"/>
        <v>310</v>
      </c>
      <c r="K121" s="195"/>
      <c r="L121" s="27">
        <f t="shared" si="13"/>
        <v>382.30867827542011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4151171</v>
      </c>
      <c r="E122" s="1">
        <v>4192174</v>
      </c>
      <c r="F122" s="41">
        <f t="shared" si="16"/>
        <v>41.003</v>
      </c>
      <c r="G122" s="22">
        <f t="shared" si="10"/>
        <v>160.33913087439478</v>
      </c>
      <c r="H122" s="45">
        <f t="shared" si="11"/>
        <v>10.832896589290819</v>
      </c>
      <c r="I122" s="42">
        <f t="shared" si="12"/>
        <v>171.17202746368559</v>
      </c>
      <c r="J122" s="30">
        <f t="shared" si="14"/>
        <v>310</v>
      </c>
      <c r="K122" s="195"/>
      <c r="L122" s="27">
        <f t="shared" si="13"/>
        <v>481.17202746368559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2896049</v>
      </c>
      <c r="E123" s="1">
        <v>2908047</v>
      </c>
      <c r="F123" s="41">
        <f t="shared" si="16"/>
        <v>11.998000000000001</v>
      </c>
      <c r="G123" s="22">
        <f t="shared" si="10"/>
        <v>46.917271717459421</v>
      </c>
      <c r="H123" s="45">
        <f t="shared" si="11"/>
        <v>10.832896589290819</v>
      </c>
      <c r="I123" s="42">
        <f t="shared" si="12"/>
        <v>57.75016830675024</v>
      </c>
      <c r="J123" s="30">
        <f t="shared" si="14"/>
        <v>310</v>
      </c>
      <c r="K123" s="195"/>
      <c r="L123" s="27">
        <f t="shared" si="13"/>
        <v>367.75016830675025</v>
      </c>
    </row>
    <row r="124" spans="1:12" ht="15" customHeight="1" x14ac:dyDescent="0.45">
      <c r="A124" s="318"/>
      <c r="B124" s="5" t="s">
        <v>9</v>
      </c>
      <c r="C124" s="2">
        <v>102</v>
      </c>
      <c r="D124" s="1">
        <v>21167</v>
      </c>
      <c r="E124" s="1">
        <v>21378</v>
      </c>
      <c r="F124" s="41">
        <f>(E124-D124)*0.01</f>
        <v>2.11</v>
      </c>
      <c r="G124" s="22">
        <f>MMULT($G$1,1/$F$183)*F124</f>
        <v>8.250995442893764</v>
      </c>
      <c r="H124" s="45">
        <f t="shared" si="11"/>
        <v>10.832896589290819</v>
      </c>
      <c r="I124" s="42">
        <f t="shared" si="12"/>
        <v>19.083892032184583</v>
      </c>
      <c r="J124" s="30">
        <f t="shared" si="14"/>
        <v>310</v>
      </c>
      <c r="K124" s="195"/>
      <c r="L124" s="27">
        <f t="shared" si="13"/>
        <v>329.08389203218456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2779034</v>
      </c>
      <c r="E125" s="1">
        <v>2796195</v>
      </c>
      <c r="F125" s="41">
        <f t="shared" ref="F125:F158" si="17">(E125-D125)*$N$1</f>
        <v>17.161000000000001</v>
      </c>
      <c r="G125" s="22">
        <f t="shared" si="10"/>
        <v>67.106792794075773</v>
      </c>
      <c r="H125" s="45">
        <f t="shared" si="11"/>
        <v>10.832896589290819</v>
      </c>
      <c r="I125" s="42">
        <f t="shared" si="12"/>
        <v>77.939689383366584</v>
      </c>
      <c r="J125" s="30">
        <f t="shared" si="14"/>
        <v>310</v>
      </c>
      <c r="K125" s="195"/>
      <c r="L125" s="27">
        <f t="shared" si="13"/>
        <v>387.93968938336661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2878331</v>
      </c>
      <c r="E126" s="1">
        <v>2878404</v>
      </c>
      <c r="F126" s="41">
        <f t="shared" si="17"/>
        <v>7.2999999999999995E-2</v>
      </c>
      <c r="G126" s="22">
        <f t="shared" si="10"/>
        <v>0.28546097977784107</v>
      </c>
      <c r="H126" s="45">
        <f t="shared" si="11"/>
        <v>10.832896589290819</v>
      </c>
      <c r="I126" s="42">
        <f t="shared" si="12"/>
        <v>11.11835756906866</v>
      </c>
      <c r="J126" s="30">
        <f t="shared" si="14"/>
        <v>310</v>
      </c>
      <c r="K126" s="195"/>
      <c r="L126" s="27">
        <f t="shared" si="13"/>
        <v>321.11835756906868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2555841</v>
      </c>
      <c r="E127" s="1">
        <v>2567452</v>
      </c>
      <c r="F127" s="41">
        <f t="shared" si="17"/>
        <v>11.611000000000001</v>
      </c>
      <c r="G127" s="22">
        <f t="shared" si="10"/>
        <v>45.403937482198813</v>
      </c>
      <c r="H127" s="45">
        <f t="shared" si="11"/>
        <v>10.832896589290819</v>
      </c>
      <c r="I127" s="42">
        <f t="shared" si="12"/>
        <v>56.236834071489632</v>
      </c>
      <c r="J127" s="30">
        <f t="shared" si="14"/>
        <v>310</v>
      </c>
      <c r="K127" s="195"/>
      <c r="L127" s="27">
        <f t="shared" si="13"/>
        <v>366.23683407148962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4673732</v>
      </c>
      <c r="E128" s="1">
        <v>4684711</v>
      </c>
      <c r="F128" s="41">
        <f t="shared" si="17"/>
        <v>10.979000000000001</v>
      </c>
      <c r="G128" s="22">
        <f t="shared" si="10"/>
        <v>42.932549273711203</v>
      </c>
      <c r="H128" s="45">
        <f t="shared" si="11"/>
        <v>10.832896589290819</v>
      </c>
      <c r="I128" s="42">
        <f t="shared" si="12"/>
        <v>53.765445863002022</v>
      </c>
      <c r="J128" s="30">
        <f t="shared" si="14"/>
        <v>310</v>
      </c>
      <c r="K128" s="195"/>
      <c r="L128" s="27">
        <f t="shared" si="13"/>
        <v>363.76544586300201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2041615</v>
      </c>
      <c r="E129" s="1">
        <v>2043951</v>
      </c>
      <c r="F129" s="41">
        <f t="shared" si="17"/>
        <v>2.3359999999999999</v>
      </c>
      <c r="G129" s="22">
        <f t="shared" si="10"/>
        <v>9.1347513528909143</v>
      </c>
      <c r="H129" s="45">
        <f t="shared" si="11"/>
        <v>10.832896589290819</v>
      </c>
      <c r="I129" s="42">
        <f t="shared" si="12"/>
        <v>19.967647942181735</v>
      </c>
      <c r="J129" s="30">
        <f t="shared" si="14"/>
        <v>310</v>
      </c>
      <c r="K129" s="195"/>
      <c r="L129" s="27">
        <f t="shared" si="13"/>
        <v>329.96764794218171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2878446</v>
      </c>
      <c r="E130" s="1">
        <v>2887178</v>
      </c>
      <c r="F130" s="41">
        <f t="shared" si="17"/>
        <v>8.7319999999999993</v>
      </c>
      <c r="G130" s="22">
        <f t="shared" si="10"/>
        <v>34.145825690686415</v>
      </c>
      <c r="H130" s="45">
        <f t="shared" si="11"/>
        <v>10.832896589290819</v>
      </c>
      <c r="I130" s="42">
        <f t="shared" si="12"/>
        <v>44.978722279977234</v>
      </c>
      <c r="J130" s="30">
        <f t="shared" si="14"/>
        <v>310</v>
      </c>
      <c r="K130" s="195"/>
      <c r="L130" s="27">
        <f t="shared" si="13"/>
        <v>354.97872227997721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2911289</v>
      </c>
      <c r="E131" s="1">
        <v>2931914</v>
      </c>
      <c r="F131" s="41">
        <f t="shared" si="17"/>
        <v>20.625</v>
      </c>
      <c r="G131" s="22">
        <f t="shared" si="10"/>
        <v>80.652502848191403</v>
      </c>
      <c r="H131" s="45">
        <f t="shared" si="11"/>
        <v>10.832896589290819</v>
      </c>
      <c r="I131" s="42">
        <f t="shared" si="12"/>
        <v>91.485399437482215</v>
      </c>
      <c r="J131" s="30">
        <f t="shared" si="14"/>
        <v>310</v>
      </c>
      <c r="K131" s="195"/>
      <c r="L131" s="27">
        <f t="shared" si="13"/>
        <v>401.48539943748222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1847762</v>
      </c>
      <c r="E132" s="1">
        <v>1855649</v>
      </c>
      <c r="F132" s="41">
        <f t="shared" si="17"/>
        <v>7.8870000000000005</v>
      </c>
      <c r="G132" s="22">
        <f t="shared" ref="G132:G182" si="18">MMULT($G$1,1/$F$183)*F132</f>
        <v>30.841517089148397</v>
      </c>
      <c r="H132" s="45">
        <f t="shared" ref="H132:H182" si="19">MMULT($H$1,1/180)</f>
        <v>10.832896589290819</v>
      </c>
      <c r="I132" s="42">
        <f t="shared" ref="I132:I182" si="20">SUM(G132,H132)</f>
        <v>41.674413678439215</v>
      </c>
      <c r="J132" s="30">
        <f t="shared" si="14"/>
        <v>310</v>
      </c>
      <c r="K132" s="195"/>
      <c r="L132" s="27">
        <f t="shared" ref="L132:L182" si="21">SUM(I132,J132,K132)</f>
        <v>351.67441367843924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3353535</v>
      </c>
      <c r="E133" s="1">
        <v>3368031</v>
      </c>
      <c r="F133" s="41">
        <f t="shared" si="17"/>
        <v>14.496</v>
      </c>
      <c r="G133" s="22">
        <f t="shared" si="18"/>
        <v>56.685511819994311</v>
      </c>
      <c r="H133" s="45">
        <f t="shared" si="19"/>
        <v>10.832896589290819</v>
      </c>
      <c r="I133" s="42">
        <f t="shared" si="20"/>
        <v>67.518408409285129</v>
      </c>
      <c r="J133" s="30">
        <f t="shared" ref="J133:J182" si="22">SUM($J$3)</f>
        <v>310</v>
      </c>
      <c r="K133" s="195"/>
      <c r="L133" s="27">
        <f t="shared" si="21"/>
        <v>377.51840840928514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3895311</v>
      </c>
      <c r="E134" s="1">
        <v>3910100</v>
      </c>
      <c r="F134" s="41">
        <f t="shared" si="17"/>
        <v>14.789</v>
      </c>
      <c r="G134" s="22">
        <f t="shared" si="18"/>
        <v>57.831266163486191</v>
      </c>
      <c r="H134" s="45">
        <f t="shared" si="19"/>
        <v>10.832896589290819</v>
      </c>
      <c r="I134" s="42">
        <f t="shared" si="20"/>
        <v>68.664162752777003</v>
      </c>
      <c r="J134" s="30">
        <f t="shared" si="22"/>
        <v>310</v>
      </c>
      <c r="K134" s="195"/>
      <c r="L134" s="27">
        <f t="shared" si="21"/>
        <v>378.66416275277697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1886970</v>
      </c>
      <c r="E135" s="1">
        <v>1888982</v>
      </c>
      <c r="F135" s="41">
        <f t="shared" si="17"/>
        <v>2.012</v>
      </c>
      <c r="G135" s="22">
        <f t="shared" si="18"/>
        <v>7.8677738536029631</v>
      </c>
      <c r="H135" s="45">
        <f t="shared" si="19"/>
        <v>10.832896589290819</v>
      </c>
      <c r="I135" s="42">
        <f t="shared" si="20"/>
        <v>18.700670442893781</v>
      </c>
      <c r="J135" s="30">
        <f t="shared" si="22"/>
        <v>310</v>
      </c>
      <c r="K135" s="195"/>
      <c r="L135" s="27">
        <f t="shared" si="21"/>
        <v>328.7006704428938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2010313</v>
      </c>
      <c r="E136" s="1">
        <v>2010323</v>
      </c>
      <c r="F136" s="41">
        <f t="shared" si="17"/>
        <v>0.01</v>
      </c>
      <c r="G136" s="22">
        <f t="shared" si="18"/>
        <v>3.9104243805183715E-2</v>
      </c>
      <c r="H136" s="45">
        <f t="shared" si="19"/>
        <v>10.832896589290819</v>
      </c>
      <c r="I136" s="42">
        <f t="shared" si="20"/>
        <v>10.872000833096003</v>
      </c>
      <c r="J136" s="30">
        <f t="shared" si="22"/>
        <v>310</v>
      </c>
      <c r="K136" s="195"/>
      <c r="L136" s="27">
        <f t="shared" si="21"/>
        <v>320.87200083309602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4363736</v>
      </c>
      <c r="E137" s="1">
        <v>4393380</v>
      </c>
      <c r="F137" s="41">
        <f t="shared" si="17"/>
        <v>29.644000000000002</v>
      </c>
      <c r="G137" s="22">
        <f t="shared" si="18"/>
        <v>115.92062033608661</v>
      </c>
      <c r="H137" s="45">
        <f t="shared" si="19"/>
        <v>10.832896589290819</v>
      </c>
      <c r="I137" s="42">
        <f t="shared" si="20"/>
        <v>126.75351692537743</v>
      </c>
      <c r="J137" s="30">
        <f t="shared" si="22"/>
        <v>310</v>
      </c>
      <c r="K137" s="195"/>
      <c r="L137" s="27">
        <f t="shared" si="21"/>
        <v>436.75351692537743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2372975</v>
      </c>
      <c r="E138" s="1">
        <v>2390648</v>
      </c>
      <c r="F138" s="41">
        <f t="shared" si="17"/>
        <v>17.673000000000002</v>
      </c>
      <c r="G138" s="22">
        <f t="shared" si="18"/>
        <v>69.108930076901188</v>
      </c>
      <c r="H138" s="45">
        <f t="shared" si="19"/>
        <v>10.832896589290819</v>
      </c>
      <c r="I138" s="42">
        <f t="shared" si="20"/>
        <v>79.941826666192014</v>
      </c>
      <c r="J138" s="30">
        <f t="shared" si="22"/>
        <v>310</v>
      </c>
      <c r="K138" s="195"/>
      <c r="L138" s="27">
        <f t="shared" si="21"/>
        <v>389.94182666619201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2990328</v>
      </c>
      <c r="E139" s="1">
        <v>3011884</v>
      </c>
      <c r="F139" s="41">
        <f t="shared" si="17"/>
        <v>21.556000000000001</v>
      </c>
      <c r="G139" s="22">
        <f t="shared" si="18"/>
        <v>84.293107946454015</v>
      </c>
      <c r="H139" s="45">
        <f t="shared" si="19"/>
        <v>10.832896589290819</v>
      </c>
      <c r="I139" s="42">
        <f t="shared" si="20"/>
        <v>95.12600453574484</v>
      </c>
      <c r="J139" s="30">
        <f t="shared" si="22"/>
        <v>310</v>
      </c>
      <c r="K139" s="195"/>
      <c r="L139" s="27">
        <f t="shared" si="21"/>
        <v>405.12600453574487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2987803</v>
      </c>
      <c r="E140" s="1">
        <v>2993032</v>
      </c>
      <c r="F140" s="41">
        <f t="shared" si="17"/>
        <v>5.2290000000000001</v>
      </c>
      <c r="G140" s="22">
        <f t="shared" si="18"/>
        <v>20.447609085730566</v>
      </c>
      <c r="H140" s="45">
        <f t="shared" si="19"/>
        <v>10.832896589290819</v>
      </c>
      <c r="I140" s="42">
        <f t="shared" si="20"/>
        <v>31.280505675021384</v>
      </c>
      <c r="J140" s="30">
        <f t="shared" si="22"/>
        <v>310</v>
      </c>
      <c r="K140" s="195"/>
      <c r="L140" s="27">
        <f t="shared" si="21"/>
        <v>341.2805056750214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2967285</v>
      </c>
      <c r="E141" s="1">
        <v>2971394</v>
      </c>
      <c r="F141" s="41">
        <f t="shared" si="17"/>
        <v>4.109</v>
      </c>
      <c r="G141" s="22">
        <f t="shared" si="18"/>
        <v>16.067933779549989</v>
      </c>
      <c r="H141" s="45">
        <f t="shared" si="19"/>
        <v>10.832896589290819</v>
      </c>
      <c r="I141" s="42">
        <f t="shared" si="20"/>
        <v>26.900830368840808</v>
      </c>
      <c r="J141" s="30">
        <f t="shared" si="22"/>
        <v>310</v>
      </c>
      <c r="K141" s="195"/>
      <c r="L141" s="27">
        <f>SUM(I141,J141,K141)</f>
        <v>336.90083036884079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3035656</v>
      </c>
      <c r="E142" s="1">
        <v>3041482</v>
      </c>
      <c r="F142" s="41">
        <f t="shared" si="17"/>
        <v>5.8260000000000005</v>
      </c>
      <c r="G142" s="22">
        <f t="shared" si="18"/>
        <v>22.782132440900035</v>
      </c>
      <c r="H142" s="45">
        <f t="shared" si="19"/>
        <v>10.832896589290819</v>
      </c>
      <c r="I142" s="42">
        <f t="shared" si="20"/>
        <v>33.615029030190854</v>
      </c>
      <c r="J142" s="30">
        <f t="shared" si="22"/>
        <v>310</v>
      </c>
      <c r="K142" s="195"/>
      <c r="L142" s="27">
        <f t="shared" si="21"/>
        <v>343.61502903019084</v>
      </c>
    </row>
    <row r="143" spans="1:12" x14ac:dyDescent="0.45">
      <c r="A143" s="314"/>
      <c r="B143" s="5" t="s">
        <v>10</v>
      </c>
      <c r="C143" s="2">
        <v>101</v>
      </c>
      <c r="D143" s="1">
        <v>3610473</v>
      </c>
      <c r="E143" s="1">
        <v>3627677</v>
      </c>
      <c r="F143" s="41">
        <f t="shared" si="17"/>
        <v>17.204000000000001</v>
      </c>
      <c r="G143" s="22">
        <f t="shared" si="18"/>
        <v>67.274941042438059</v>
      </c>
      <c r="H143" s="45">
        <f t="shared" si="19"/>
        <v>10.832896589290819</v>
      </c>
      <c r="I143" s="42">
        <f t="shared" si="20"/>
        <v>78.10783763172887</v>
      </c>
      <c r="J143" s="30">
        <f t="shared" si="22"/>
        <v>310</v>
      </c>
      <c r="K143" s="195"/>
      <c r="L143" s="27">
        <f t="shared" si="21"/>
        <v>388.1078376317289</v>
      </c>
    </row>
    <row r="144" spans="1:12" x14ac:dyDescent="0.45">
      <c r="A144" s="314"/>
      <c r="B144" s="5" t="s">
        <v>10</v>
      </c>
      <c r="C144" s="2">
        <v>102</v>
      </c>
      <c r="D144" s="1">
        <v>4005844</v>
      </c>
      <c r="E144" s="1">
        <v>4016291</v>
      </c>
      <c r="F144" s="41">
        <f t="shared" si="17"/>
        <v>10.447000000000001</v>
      </c>
      <c r="G144" s="22">
        <f t="shared" si="18"/>
        <v>40.852203503275426</v>
      </c>
      <c r="H144" s="45">
        <f t="shared" si="19"/>
        <v>10.832896589290819</v>
      </c>
      <c r="I144" s="42">
        <f t="shared" si="20"/>
        <v>51.685100092566245</v>
      </c>
      <c r="J144" s="30">
        <f t="shared" si="22"/>
        <v>310</v>
      </c>
      <c r="K144" s="195"/>
      <c r="L144" s="27">
        <f t="shared" si="21"/>
        <v>361.68510009256624</v>
      </c>
    </row>
    <row r="145" spans="1:12" x14ac:dyDescent="0.45">
      <c r="A145" s="314"/>
      <c r="B145" s="5" t="s">
        <v>10</v>
      </c>
      <c r="C145" s="2">
        <v>103</v>
      </c>
      <c r="D145" s="1">
        <v>3909474</v>
      </c>
      <c r="E145" s="1">
        <v>3922263</v>
      </c>
      <c r="F145" s="41">
        <f t="shared" si="17"/>
        <v>12.789</v>
      </c>
      <c r="G145" s="22">
        <f t="shared" si="18"/>
        <v>50.010417402449448</v>
      </c>
      <c r="H145" s="45">
        <f t="shared" si="19"/>
        <v>10.832896589290819</v>
      </c>
      <c r="I145" s="42">
        <f t="shared" si="20"/>
        <v>60.843313991740267</v>
      </c>
      <c r="J145" s="30">
        <f t="shared" si="22"/>
        <v>310</v>
      </c>
      <c r="K145" s="195"/>
      <c r="L145" s="27">
        <f t="shared" si="21"/>
        <v>370.84331399174027</v>
      </c>
    </row>
    <row r="146" spans="1:12" x14ac:dyDescent="0.45">
      <c r="A146" s="314"/>
      <c r="B146" s="5" t="s">
        <v>10</v>
      </c>
      <c r="C146" s="2">
        <v>104</v>
      </c>
      <c r="D146" s="1">
        <v>2891344</v>
      </c>
      <c r="E146" s="1">
        <v>2901898</v>
      </c>
      <c r="F146" s="41">
        <f t="shared" si="17"/>
        <v>10.554</v>
      </c>
      <c r="G146" s="22">
        <f t="shared" si="18"/>
        <v>41.270618911990894</v>
      </c>
      <c r="H146" s="45">
        <f t="shared" si="19"/>
        <v>10.832896589290819</v>
      </c>
      <c r="I146" s="42">
        <f t="shared" si="20"/>
        <v>52.103515501281713</v>
      </c>
      <c r="J146" s="30">
        <f t="shared" si="22"/>
        <v>310</v>
      </c>
      <c r="K146" s="195"/>
      <c r="L146" s="27">
        <f t="shared" si="21"/>
        <v>362.10351550128172</v>
      </c>
    </row>
    <row r="147" spans="1:12" x14ac:dyDescent="0.45">
      <c r="A147" s="314"/>
      <c r="B147" s="5" t="s">
        <v>10</v>
      </c>
      <c r="C147" s="2">
        <v>201</v>
      </c>
      <c r="D147" s="1">
        <v>5135594</v>
      </c>
      <c r="E147" s="1">
        <v>5184542</v>
      </c>
      <c r="F147" s="41">
        <f t="shared" si="17"/>
        <v>48.948</v>
      </c>
      <c r="G147" s="22">
        <f t="shared" si="18"/>
        <v>191.40745257761324</v>
      </c>
      <c r="H147" s="45">
        <f t="shared" si="19"/>
        <v>10.832896589290819</v>
      </c>
      <c r="I147" s="42">
        <f t="shared" si="20"/>
        <v>202.24034916690405</v>
      </c>
      <c r="J147" s="30">
        <f t="shared" si="22"/>
        <v>310</v>
      </c>
      <c r="K147" s="195"/>
      <c r="L147" s="27">
        <f t="shared" si="21"/>
        <v>512.24034916690402</v>
      </c>
    </row>
    <row r="148" spans="1:12" x14ac:dyDescent="0.45">
      <c r="A148" s="314"/>
      <c r="B148" s="5" t="s">
        <v>10</v>
      </c>
      <c r="C148" s="2">
        <v>202</v>
      </c>
      <c r="D148" s="1">
        <v>3347404</v>
      </c>
      <c r="E148" s="1">
        <v>3366747</v>
      </c>
      <c r="F148" s="41">
        <f t="shared" si="17"/>
        <v>19.343</v>
      </c>
      <c r="G148" s="22">
        <f t="shared" si="18"/>
        <v>75.639338792366857</v>
      </c>
      <c r="H148" s="45">
        <f t="shared" si="19"/>
        <v>10.832896589290819</v>
      </c>
      <c r="I148" s="42">
        <f t="shared" si="20"/>
        <v>86.472235381657669</v>
      </c>
      <c r="J148" s="30">
        <f t="shared" si="22"/>
        <v>310</v>
      </c>
      <c r="K148" s="195"/>
      <c r="L148" s="27">
        <f t="shared" si="21"/>
        <v>396.4722353816577</v>
      </c>
    </row>
    <row r="149" spans="1:12" x14ac:dyDescent="0.45">
      <c r="A149" s="314"/>
      <c r="B149" s="5" t="s">
        <v>10</v>
      </c>
      <c r="C149" s="2">
        <v>203</v>
      </c>
      <c r="D149" s="1">
        <v>3369206</v>
      </c>
      <c r="E149" s="1">
        <v>3386675</v>
      </c>
      <c r="F149" s="41">
        <f t="shared" si="17"/>
        <v>17.469000000000001</v>
      </c>
      <c r="G149" s="22">
        <f t="shared" si="18"/>
        <v>68.311203503275436</v>
      </c>
      <c r="H149" s="45">
        <f t="shared" si="19"/>
        <v>10.832896589290819</v>
      </c>
      <c r="I149" s="42">
        <f t="shared" si="20"/>
        <v>79.144100092566248</v>
      </c>
      <c r="J149" s="30">
        <f t="shared" si="22"/>
        <v>310</v>
      </c>
      <c r="K149" s="195"/>
      <c r="L149" s="27">
        <f t="shared" si="21"/>
        <v>389.14410009256625</v>
      </c>
    </row>
    <row r="150" spans="1:12" x14ac:dyDescent="0.45">
      <c r="A150" s="314"/>
      <c r="B150" s="5" t="s">
        <v>10</v>
      </c>
      <c r="C150" s="2">
        <v>204</v>
      </c>
      <c r="D150" s="1">
        <v>1869440</v>
      </c>
      <c r="E150" s="1">
        <v>1876157</v>
      </c>
      <c r="F150" s="41">
        <f t="shared" si="17"/>
        <v>6.7170000000000005</v>
      </c>
      <c r="G150" s="22">
        <f t="shared" si="18"/>
        <v>26.266320563941903</v>
      </c>
      <c r="H150" s="45">
        <f t="shared" si="19"/>
        <v>10.832896589290819</v>
      </c>
      <c r="I150" s="42">
        <f t="shared" si="20"/>
        <v>37.099217153232722</v>
      </c>
      <c r="J150" s="30">
        <f t="shared" si="22"/>
        <v>310</v>
      </c>
      <c r="K150" s="195"/>
      <c r="L150" s="27">
        <f t="shared" si="21"/>
        <v>347.0992171532327</v>
      </c>
    </row>
    <row r="151" spans="1:12" x14ac:dyDescent="0.45">
      <c r="A151" s="314"/>
      <c r="B151" s="5" t="s">
        <v>10</v>
      </c>
      <c r="C151" s="2">
        <v>301</v>
      </c>
      <c r="D151" s="1">
        <v>2284197</v>
      </c>
      <c r="E151" s="1">
        <v>2299408</v>
      </c>
      <c r="F151" s="41">
        <f t="shared" si="17"/>
        <v>15.211</v>
      </c>
      <c r="G151" s="22">
        <f t="shared" si="18"/>
        <v>59.48146525206495</v>
      </c>
      <c r="H151" s="45">
        <f t="shared" si="19"/>
        <v>10.832896589290819</v>
      </c>
      <c r="I151" s="42">
        <f t="shared" si="20"/>
        <v>70.314361841355776</v>
      </c>
      <c r="J151" s="30">
        <f t="shared" si="22"/>
        <v>310</v>
      </c>
      <c r="K151" s="195"/>
      <c r="L151" s="27">
        <f t="shared" si="21"/>
        <v>380.31436184135578</v>
      </c>
    </row>
    <row r="152" spans="1:12" x14ac:dyDescent="0.45">
      <c r="A152" s="314"/>
      <c r="B152" s="5" t="s">
        <v>10</v>
      </c>
      <c r="C152" s="2">
        <v>302</v>
      </c>
      <c r="D152" s="1">
        <v>4120044</v>
      </c>
      <c r="E152" s="1">
        <v>4138773</v>
      </c>
      <c r="F152" s="41">
        <f t="shared" si="17"/>
        <v>18.728999999999999</v>
      </c>
      <c r="G152" s="22">
        <f t="shared" si="18"/>
        <v>73.238338222728572</v>
      </c>
      <c r="H152" s="45">
        <f t="shared" si="19"/>
        <v>10.832896589290819</v>
      </c>
      <c r="I152" s="42">
        <f t="shared" si="20"/>
        <v>84.071234812019384</v>
      </c>
      <c r="J152" s="30">
        <f t="shared" si="22"/>
        <v>310</v>
      </c>
      <c r="K152" s="195">
        <v>10</v>
      </c>
      <c r="L152" s="27">
        <f t="shared" si="21"/>
        <v>404.07123481201938</v>
      </c>
    </row>
    <row r="153" spans="1:12" x14ac:dyDescent="0.45">
      <c r="A153" s="314"/>
      <c r="B153" s="5" t="s">
        <v>10</v>
      </c>
      <c r="C153" s="2">
        <v>303</v>
      </c>
      <c r="D153" s="1">
        <v>2602134</v>
      </c>
      <c r="E153" s="1">
        <v>2622071</v>
      </c>
      <c r="F153" s="41">
        <f t="shared" si="17"/>
        <v>19.937000000000001</v>
      </c>
      <c r="G153" s="22">
        <f t="shared" si="18"/>
        <v>77.962130874394774</v>
      </c>
      <c r="H153" s="45">
        <f t="shared" si="19"/>
        <v>10.832896589290819</v>
      </c>
      <c r="I153" s="42">
        <f t="shared" si="20"/>
        <v>88.795027463685585</v>
      </c>
      <c r="J153" s="30">
        <f t="shared" si="22"/>
        <v>310</v>
      </c>
      <c r="K153" s="195"/>
      <c r="L153" s="27">
        <f>SUM(I153,J153,K153)</f>
        <v>398.79502746368559</v>
      </c>
    </row>
    <row r="154" spans="1:12" x14ac:dyDescent="0.45">
      <c r="A154" s="314"/>
      <c r="B154" s="5" t="s">
        <v>10</v>
      </c>
      <c r="C154" s="2">
        <v>304</v>
      </c>
      <c r="D154" s="1">
        <v>2236161</v>
      </c>
      <c r="E154" s="1">
        <v>2260146</v>
      </c>
      <c r="F154" s="41">
        <f t="shared" si="17"/>
        <v>23.984999999999999</v>
      </c>
      <c r="G154" s="22">
        <f t="shared" si="18"/>
        <v>93.791528766733137</v>
      </c>
      <c r="H154" s="45">
        <f t="shared" si="19"/>
        <v>10.832896589290819</v>
      </c>
      <c r="I154" s="42">
        <f t="shared" si="20"/>
        <v>104.62442535602395</v>
      </c>
      <c r="J154" s="30">
        <f t="shared" si="22"/>
        <v>310</v>
      </c>
      <c r="K154" s="195">
        <v>300</v>
      </c>
      <c r="L154" s="27">
        <f t="shared" si="21"/>
        <v>714.62442535602395</v>
      </c>
    </row>
    <row r="155" spans="1:12" x14ac:dyDescent="0.45">
      <c r="A155" s="314"/>
      <c r="B155" s="5" t="s">
        <v>10</v>
      </c>
      <c r="C155" s="2">
        <v>401</v>
      </c>
      <c r="D155" s="1">
        <v>4804427</v>
      </c>
      <c r="E155" s="1">
        <v>4832498</v>
      </c>
      <c r="F155" s="41">
        <f t="shared" si="17"/>
        <v>28.071000000000002</v>
      </c>
      <c r="G155" s="22">
        <f t="shared" si="18"/>
        <v>109.76952278553121</v>
      </c>
      <c r="H155" s="45">
        <f t="shared" si="19"/>
        <v>10.832896589290819</v>
      </c>
      <c r="I155" s="42">
        <f t="shared" si="20"/>
        <v>120.60241937482203</v>
      </c>
      <c r="J155" s="30">
        <f t="shared" si="22"/>
        <v>310</v>
      </c>
      <c r="K155" s="195"/>
      <c r="L155" s="27">
        <f t="shared" si="21"/>
        <v>430.60241937482203</v>
      </c>
    </row>
    <row r="156" spans="1:12" x14ac:dyDescent="0.45">
      <c r="A156" s="314"/>
      <c r="B156" s="5" t="s">
        <v>10</v>
      </c>
      <c r="C156" s="2">
        <v>402</v>
      </c>
      <c r="D156" s="1">
        <v>3691288</v>
      </c>
      <c r="E156" s="1">
        <v>3705637</v>
      </c>
      <c r="F156" s="41">
        <f t="shared" si="17"/>
        <v>14.349</v>
      </c>
      <c r="G156" s="22">
        <f t="shared" si="18"/>
        <v>56.110679436058113</v>
      </c>
      <c r="H156" s="45">
        <f t="shared" si="19"/>
        <v>10.832896589290819</v>
      </c>
      <c r="I156" s="42">
        <f t="shared" si="20"/>
        <v>66.943576025348932</v>
      </c>
      <c r="J156" s="30">
        <f t="shared" si="22"/>
        <v>310</v>
      </c>
      <c r="K156" s="195"/>
      <c r="L156" s="27">
        <f t="shared" si="21"/>
        <v>376.94357602534893</v>
      </c>
    </row>
    <row r="157" spans="1:12" x14ac:dyDescent="0.45">
      <c r="A157" s="314"/>
      <c r="B157" s="237" t="s">
        <v>10</v>
      </c>
      <c r="C157" s="235">
        <v>403</v>
      </c>
      <c r="D157" s="1">
        <v>723</v>
      </c>
      <c r="E157" s="1">
        <v>1115</v>
      </c>
      <c r="F157" s="41">
        <f t="shared" si="17"/>
        <v>0.39200000000000002</v>
      </c>
      <c r="G157" s="22">
        <f t="shared" si="18"/>
        <v>1.5328863571632017</v>
      </c>
      <c r="H157" s="45">
        <f t="shared" si="19"/>
        <v>10.832896589290819</v>
      </c>
      <c r="I157" s="42">
        <f t="shared" si="20"/>
        <v>12.36578294645402</v>
      </c>
      <c r="J157" s="30">
        <f t="shared" si="22"/>
        <v>310</v>
      </c>
      <c r="K157" s="195"/>
      <c r="L157" s="27">
        <f t="shared" si="21"/>
        <v>322.36578294645403</v>
      </c>
    </row>
    <row r="158" spans="1:12" x14ac:dyDescent="0.45">
      <c r="A158" s="314"/>
      <c r="B158" s="237" t="s">
        <v>10</v>
      </c>
      <c r="C158" s="235">
        <v>404</v>
      </c>
      <c r="D158" s="1">
        <v>13240</v>
      </c>
      <c r="E158" s="1">
        <v>32689</v>
      </c>
      <c r="F158" s="41">
        <f t="shared" si="17"/>
        <v>19.449000000000002</v>
      </c>
      <c r="G158" s="22">
        <f t="shared" si="18"/>
        <v>76.053843776701811</v>
      </c>
      <c r="H158" s="45">
        <f t="shared" si="19"/>
        <v>10.832896589290819</v>
      </c>
      <c r="I158" s="42">
        <f t="shared" si="20"/>
        <v>86.886740365992637</v>
      </c>
      <c r="J158" s="30">
        <f t="shared" si="22"/>
        <v>310</v>
      </c>
      <c r="K158" s="195"/>
      <c r="L158" s="27">
        <f>SUM(I158,J158,K158)</f>
        <v>396.88674036599264</v>
      </c>
    </row>
    <row r="159" spans="1:12" x14ac:dyDescent="0.45">
      <c r="A159" s="314"/>
      <c r="B159" s="5" t="s">
        <v>10</v>
      </c>
      <c r="C159" s="2">
        <v>501</v>
      </c>
      <c r="D159" s="1">
        <v>80390</v>
      </c>
      <c r="E159" s="1">
        <v>82254</v>
      </c>
      <c r="F159" s="41">
        <f>(E159-D159)*0.01</f>
        <v>18.64</v>
      </c>
      <c r="G159" s="22">
        <f t="shared" si="18"/>
        <v>72.890310452862451</v>
      </c>
      <c r="H159" s="45">
        <f t="shared" si="19"/>
        <v>10.832896589290819</v>
      </c>
      <c r="I159" s="42">
        <f t="shared" si="20"/>
        <v>83.723207042153263</v>
      </c>
      <c r="J159" s="30">
        <f t="shared" si="22"/>
        <v>310</v>
      </c>
      <c r="K159" s="195"/>
      <c r="L159" s="27">
        <f>SUM(I159,J159,K159)</f>
        <v>393.72320704215326</v>
      </c>
    </row>
    <row r="160" spans="1:12" x14ac:dyDescent="0.45">
      <c r="A160" s="314"/>
      <c r="B160" s="5" t="s">
        <v>10</v>
      </c>
      <c r="C160" s="2">
        <v>502</v>
      </c>
      <c r="D160" s="1">
        <v>2663523</v>
      </c>
      <c r="E160" s="1">
        <v>2686520</v>
      </c>
      <c r="F160" s="41">
        <f t="shared" ref="F160:F182" si="23">(E160-D160)*$N$1</f>
        <v>22.997</v>
      </c>
      <c r="G160" s="22">
        <f t="shared" si="18"/>
        <v>89.928029478780985</v>
      </c>
      <c r="H160" s="45">
        <f t="shared" si="19"/>
        <v>10.832896589290819</v>
      </c>
      <c r="I160" s="42">
        <f t="shared" si="20"/>
        <v>100.7609260680718</v>
      </c>
      <c r="J160" s="30">
        <f t="shared" si="22"/>
        <v>310</v>
      </c>
      <c r="K160" s="195"/>
      <c r="L160" s="27">
        <f t="shared" si="21"/>
        <v>410.7609260680718</v>
      </c>
    </row>
    <row r="161" spans="1:12" x14ac:dyDescent="0.45">
      <c r="A161" s="314"/>
      <c r="B161" s="5" t="s">
        <v>10</v>
      </c>
      <c r="C161" s="2">
        <v>503</v>
      </c>
      <c r="D161" s="1">
        <v>3666956</v>
      </c>
      <c r="E161" s="1">
        <v>3703038</v>
      </c>
      <c r="F161" s="41">
        <f t="shared" si="23"/>
        <v>36.082000000000001</v>
      </c>
      <c r="G161" s="22">
        <f t="shared" si="18"/>
        <v>141.09593249786388</v>
      </c>
      <c r="H161" s="45">
        <f t="shared" si="19"/>
        <v>10.832896589290819</v>
      </c>
      <c r="I161" s="42">
        <f t="shared" si="20"/>
        <v>151.9288290871547</v>
      </c>
      <c r="J161" s="30">
        <f t="shared" si="22"/>
        <v>310</v>
      </c>
      <c r="K161" s="195"/>
      <c r="L161" s="27">
        <f t="shared" si="21"/>
        <v>461.92882908715467</v>
      </c>
    </row>
    <row r="162" spans="1:12" x14ac:dyDescent="0.45">
      <c r="A162" s="314"/>
      <c r="B162" s="5" t="s">
        <v>10</v>
      </c>
      <c r="C162" s="2">
        <v>504</v>
      </c>
      <c r="D162" s="1">
        <v>3440124</v>
      </c>
      <c r="E162" s="1">
        <v>3470531</v>
      </c>
      <c r="F162" s="41">
        <f t="shared" si="23"/>
        <v>30.407</v>
      </c>
      <c r="G162" s="22">
        <f t="shared" si="18"/>
        <v>118.90427413842212</v>
      </c>
      <c r="H162" s="45">
        <f t="shared" si="19"/>
        <v>10.832896589290819</v>
      </c>
      <c r="I162" s="42">
        <f t="shared" si="20"/>
        <v>129.73717072771294</v>
      </c>
      <c r="J162" s="30">
        <f t="shared" si="22"/>
        <v>310</v>
      </c>
      <c r="K162" s="195"/>
      <c r="L162" s="27">
        <f t="shared" si="21"/>
        <v>439.73717072771296</v>
      </c>
    </row>
    <row r="163" spans="1:12" x14ac:dyDescent="0.45">
      <c r="A163" s="318"/>
      <c r="B163" s="5" t="s">
        <v>11</v>
      </c>
      <c r="C163" s="2">
        <v>101</v>
      </c>
      <c r="D163" s="1">
        <v>2950154</v>
      </c>
      <c r="E163" s="1">
        <v>2967618</v>
      </c>
      <c r="F163" s="41">
        <f t="shared" si="23"/>
        <v>17.463999999999999</v>
      </c>
      <c r="G163" s="22">
        <f t="shared" si="18"/>
        <v>68.29165138137283</v>
      </c>
      <c r="H163" s="45">
        <f t="shared" si="19"/>
        <v>10.832896589290819</v>
      </c>
      <c r="I163" s="42">
        <f t="shared" si="20"/>
        <v>79.124547970663656</v>
      </c>
      <c r="J163" s="30">
        <f t="shared" si="22"/>
        <v>310</v>
      </c>
      <c r="K163" s="195"/>
      <c r="L163" s="27">
        <f t="shared" si="21"/>
        <v>389.12454797066368</v>
      </c>
    </row>
    <row r="164" spans="1:12" x14ac:dyDescent="0.45">
      <c r="A164" s="318"/>
      <c r="B164" s="5" t="s">
        <v>11</v>
      </c>
      <c r="C164" s="2">
        <v>102</v>
      </c>
      <c r="D164" s="1">
        <v>2639096</v>
      </c>
      <c r="E164" s="1">
        <v>2665569</v>
      </c>
      <c r="F164" s="41">
        <f t="shared" si="23"/>
        <v>26.472999999999999</v>
      </c>
      <c r="G164" s="22">
        <f t="shared" si="18"/>
        <v>103.52066462546284</v>
      </c>
      <c r="H164" s="45">
        <f t="shared" si="19"/>
        <v>10.832896589290819</v>
      </c>
      <c r="I164" s="42">
        <f t="shared" si="20"/>
        <v>114.35356121475365</v>
      </c>
      <c r="J164" s="30">
        <f t="shared" si="22"/>
        <v>310</v>
      </c>
      <c r="K164" s="195">
        <v>10</v>
      </c>
      <c r="L164" s="27">
        <f t="shared" si="21"/>
        <v>434.35356121475365</v>
      </c>
    </row>
    <row r="165" spans="1:12" x14ac:dyDescent="0.45">
      <c r="A165" s="318"/>
      <c r="B165" s="5" t="s">
        <v>11</v>
      </c>
      <c r="C165" s="2">
        <v>103</v>
      </c>
      <c r="D165" s="1">
        <v>2345675</v>
      </c>
      <c r="E165" s="1">
        <v>2352062</v>
      </c>
      <c r="F165" s="41">
        <f t="shared" si="23"/>
        <v>6.3870000000000005</v>
      </c>
      <c r="G165" s="22">
        <f t="shared" si="18"/>
        <v>24.97588051837084</v>
      </c>
      <c r="H165" s="45">
        <f t="shared" si="19"/>
        <v>10.832896589290819</v>
      </c>
      <c r="I165" s="42">
        <f t="shared" si="20"/>
        <v>35.808777107661655</v>
      </c>
      <c r="J165" s="30">
        <f t="shared" si="22"/>
        <v>310</v>
      </c>
      <c r="K165" s="195"/>
      <c r="L165" s="27">
        <f t="shared" si="21"/>
        <v>345.80877710766163</v>
      </c>
    </row>
    <row r="166" spans="1:12" x14ac:dyDescent="0.45">
      <c r="A166" s="318"/>
      <c r="B166" s="5" t="s">
        <v>11</v>
      </c>
      <c r="C166" s="2">
        <v>104</v>
      </c>
      <c r="D166" s="1">
        <v>2673068</v>
      </c>
      <c r="E166" s="1">
        <v>2708074</v>
      </c>
      <c r="F166" s="41">
        <f t="shared" si="23"/>
        <v>35.006</v>
      </c>
      <c r="G166" s="22">
        <f t="shared" si="18"/>
        <v>136.88831586442612</v>
      </c>
      <c r="H166" s="45">
        <f t="shared" si="19"/>
        <v>10.832896589290819</v>
      </c>
      <c r="I166" s="42">
        <f t="shared" si="20"/>
        <v>147.72121245371693</v>
      </c>
      <c r="J166" s="30">
        <f t="shared" si="22"/>
        <v>310</v>
      </c>
      <c r="K166" s="195">
        <v>10</v>
      </c>
      <c r="L166" s="27">
        <f t="shared" si="21"/>
        <v>467.72121245371693</v>
      </c>
    </row>
    <row r="167" spans="1:12" x14ac:dyDescent="0.45">
      <c r="A167" s="318"/>
      <c r="B167" s="5" t="s">
        <v>11</v>
      </c>
      <c r="C167" s="2">
        <v>201</v>
      </c>
      <c r="D167" s="1">
        <v>2037261</v>
      </c>
      <c r="E167" s="1">
        <v>2048392</v>
      </c>
      <c r="F167" s="41">
        <f t="shared" si="23"/>
        <v>11.131</v>
      </c>
      <c r="G167" s="22">
        <f t="shared" si="18"/>
        <v>43.526933779549992</v>
      </c>
      <c r="H167" s="45">
        <f t="shared" si="19"/>
        <v>10.832896589290819</v>
      </c>
      <c r="I167" s="42">
        <f t="shared" si="20"/>
        <v>54.359830368840811</v>
      </c>
      <c r="J167" s="30">
        <f t="shared" si="22"/>
        <v>310</v>
      </c>
      <c r="K167" s="195"/>
      <c r="L167" s="27">
        <f t="shared" si="21"/>
        <v>364.35983036884079</v>
      </c>
    </row>
    <row r="168" spans="1:12" x14ac:dyDescent="0.45">
      <c r="A168" s="318"/>
      <c r="B168" s="237" t="s">
        <v>11</v>
      </c>
      <c r="C168" s="235">
        <v>202</v>
      </c>
      <c r="D168" s="1">
        <v>17928</v>
      </c>
      <c r="E168" s="1">
        <v>43948</v>
      </c>
      <c r="F168" s="41">
        <f t="shared" si="23"/>
        <v>26.02</v>
      </c>
      <c r="G168" s="22">
        <f t="shared" si="18"/>
        <v>101.74924238108802</v>
      </c>
      <c r="H168" s="45">
        <f t="shared" si="19"/>
        <v>10.832896589290819</v>
      </c>
      <c r="I168" s="42">
        <f t="shared" si="20"/>
        <v>112.58213897037885</v>
      </c>
      <c r="J168" s="30">
        <f t="shared" si="22"/>
        <v>310</v>
      </c>
      <c r="K168" s="195">
        <v>10</v>
      </c>
      <c r="L168" s="27">
        <f t="shared" si="21"/>
        <v>432.58213897037888</v>
      </c>
    </row>
    <row r="169" spans="1:12" x14ac:dyDescent="0.45">
      <c r="A169" s="318"/>
      <c r="B169" s="5" t="s">
        <v>11</v>
      </c>
      <c r="C169" s="2">
        <v>203</v>
      </c>
      <c r="D169" s="1">
        <v>2673087</v>
      </c>
      <c r="E169" s="1">
        <v>2687412</v>
      </c>
      <c r="F169" s="41">
        <f t="shared" si="23"/>
        <v>14.325000000000001</v>
      </c>
      <c r="G169" s="22">
        <f t="shared" si="18"/>
        <v>56.016829250925674</v>
      </c>
      <c r="H169" s="45">
        <f t="shared" si="19"/>
        <v>10.832896589290819</v>
      </c>
      <c r="I169" s="42">
        <f t="shared" si="20"/>
        <v>66.849725840216493</v>
      </c>
      <c r="J169" s="30">
        <f t="shared" si="22"/>
        <v>310</v>
      </c>
      <c r="K169" s="195">
        <v>10</v>
      </c>
      <c r="L169" s="27">
        <f t="shared" si="21"/>
        <v>386.84972584021648</v>
      </c>
    </row>
    <row r="170" spans="1:12" x14ac:dyDescent="0.45">
      <c r="A170" s="318"/>
      <c r="B170" s="5" t="s">
        <v>11</v>
      </c>
      <c r="C170" s="2">
        <v>204</v>
      </c>
      <c r="D170" s="1">
        <v>2271033</v>
      </c>
      <c r="E170" s="1">
        <v>2286108</v>
      </c>
      <c r="F170" s="41">
        <f t="shared" si="23"/>
        <v>15.075000000000001</v>
      </c>
      <c r="G170" s="22">
        <f t="shared" si="18"/>
        <v>58.949647536314451</v>
      </c>
      <c r="H170" s="45">
        <f t="shared" si="19"/>
        <v>10.832896589290819</v>
      </c>
      <c r="I170" s="42">
        <f t="shared" si="20"/>
        <v>69.78254412560527</v>
      </c>
      <c r="J170" s="30">
        <f t="shared" si="22"/>
        <v>310</v>
      </c>
      <c r="K170" s="195"/>
      <c r="L170" s="27">
        <f t="shared" si="21"/>
        <v>379.78254412560528</v>
      </c>
    </row>
    <row r="171" spans="1:12" x14ac:dyDescent="0.45">
      <c r="A171" s="318"/>
      <c r="B171" s="5" t="s">
        <v>11</v>
      </c>
      <c r="C171" s="2">
        <v>301</v>
      </c>
      <c r="D171" s="1">
        <v>3322164</v>
      </c>
      <c r="E171" s="1">
        <v>3337539</v>
      </c>
      <c r="F171" s="41">
        <f t="shared" si="23"/>
        <v>15.375</v>
      </c>
      <c r="G171" s="22">
        <f t="shared" si="18"/>
        <v>60.122774850469959</v>
      </c>
      <c r="H171" s="45">
        <f t="shared" si="19"/>
        <v>10.832896589290819</v>
      </c>
      <c r="I171" s="42">
        <f t="shared" si="20"/>
        <v>70.955671439760778</v>
      </c>
      <c r="J171" s="30">
        <f t="shared" si="22"/>
        <v>310</v>
      </c>
      <c r="K171" s="195"/>
      <c r="L171" s="27">
        <f t="shared" si="21"/>
        <v>380.95567143976075</v>
      </c>
    </row>
    <row r="172" spans="1:12" x14ac:dyDescent="0.45">
      <c r="A172" s="318"/>
      <c r="B172" s="5" t="s">
        <v>11</v>
      </c>
      <c r="C172" s="2">
        <v>302</v>
      </c>
      <c r="D172" s="1">
        <v>2636786</v>
      </c>
      <c r="E172" s="1">
        <v>2651504</v>
      </c>
      <c r="F172" s="41">
        <f t="shared" si="23"/>
        <v>14.718</v>
      </c>
      <c r="G172" s="22">
        <f t="shared" si="18"/>
        <v>57.553626032469388</v>
      </c>
      <c r="H172" s="45">
        <f t="shared" si="19"/>
        <v>10.832896589290819</v>
      </c>
      <c r="I172" s="42">
        <f t="shared" si="20"/>
        <v>68.386522621760207</v>
      </c>
      <c r="J172" s="30">
        <f t="shared" si="22"/>
        <v>310</v>
      </c>
      <c r="K172" s="195">
        <v>10</v>
      </c>
      <c r="L172" s="27">
        <f t="shared" si="21"/>
        <v>388.38652262176021</v>
      </c>
    </row>
    <row r="173" spans="1:12" x14ac:dyDescent="0.45">
      <c r="A173" s="318"/>
      <c r="B173" s="5" t="s">
        <v>11</v>
      </c>
      <c r="C173" s="2">
        <v>303</v>
      </c>
      <c r="D173" s="1">
        <v>2423433</v>
      </c>
      <c r="E173" s="1">
        <v>2433324</v>
      </c>
      <c r="F173" s="41">
        <f t="shared" si="23"/>
        <v>9.891</v>
      </c>
      <c r="G173" s="22">
        <f t="shared" si="18"/>
        <v>38.67800754770721</v>
      </c>
      <c r="H173" s="45">
        <f t="shared" si="19"/>
        <v>10.832896589290819</v>
      </c>
      <c r="I173" s="42">
        <f t="shared" si="20"/>
        <v>49.510904136998029</v>
      </c>
      <c r="J173" s="30">
        <f t="shared" si="22"/>
        <v>310</v>
      </c>
      <c r="K173" s="195"/>
      <c r="L173" s="27">
        <f t="shared" si="21"/>
        <v>359.51090413699802</v>
      </c>
    </row>
    <row r="174" spans="1:12" x14ac:dyDescent="0.45">
      <c r="A174" s="318"/>
      <c r="B174" s="5" t="s">
        <v>11</v>
      </c>
      <c r="C174" s="2">
        <v>304</v>
      </c>
      <c r="D174" s="1">
        <v>5214451</v>
      </c>
      <c r="E174" s="1">
        <v>5250427</v>
      </c>
      <c r="F174" s="41">
        <f t="shared" si="23"/>
        <v>35.975999999999999</v>
      </c>
      <c r="G174" s="22">
        <f t="shared" si="18"/>
        <v>140.68142751352892</v>
      </c>
      <c r="H174" s="45">
        <f t="shared" si="19"/>
        <v>10.832896589290819</v>
      </c>
      <c r="I174" s="42">
        <f t="shared" si="20"/>
        <v>151.51432410281973</v>
      </c>
      <c r="J174" s="30">
        <f t="shared" si="22"/>
        <v>310</v>
      </c>
      <c r="K174" s="195"/>
      <c r="L174" s="27">
        <f t="shared" si="21"/>
        <v>461.51432410281973</v>
      </c>
    </row>
    <row r="175" spans="1:12" x14ac:dyDescent="0.45">
      <c r="A175" s="318"/>
      <c r="B175" s="5" t="s">
        <v>11</v>
      </c>
      <c r="C175" s="2">
        <v>401</v>
      </c>
      <c r="D175" s="1">
        <v>3484434</v>
      </c>
      <c r="E175" s="1">
        <v>3493131</v>
      </c>
      <c r="F175" s="41">
        <f t="shared" si="23"/>
        <v>8.697000000000001</v>
      </c>
      <c r="G175" s="22">
        <f t="shared" si="18"/>
        <v>34.008960837368278</v>
      </c>
      <c r="H175" s="45">
        <f t="shared" si="19"/>
        <v>10.832896589290819</v>
      </c>
      <c r="I175" s="42">
        <f t="shared" si="20"/>
        <v>44.841857426659097</v>
      </c>
      <c r="J175" s="30">
        <f t="shared" si="22"/>
        <v>310</v>
      </c>
      <c r="K175" s="195"/>
      <c r="L175" s="27">
        <f t="shared" si="21"/>
        <v>354.84185742665909</v>
      </c>
    </row>
    <row r="176" spans="1:12" x14ac:dyDescent="0.45">
      <c r="A176" s="318"/>
      <c r="B176" s="5" t="s">
        <v>11</v>
      </c>
      <c r="C176" s="2">
        <v>402</v>
      </c>
      <c r="D176" s="1">
        <v>1960290</v>
      </c>
      <c r="E176" s="1">
        <v>1970406</v>
      </c>
      <c r="F176" s="41">
        <f t="shared" si="23"/>
        <v>10.116</v>
      </c>
      <c r="G176" s="22">
        <f t="shared" si="18"/>
        <v>39.557853033323845</v>
      </c>
      <c r="H176" s="45">
        <f t="shared" si="19"/>
        <v>10.832896589290819</v>
      </c>
      <c r="I176" s="42">
        <f t="shared" si="20"/>
        <v>50.390749622614663</v>
      </c>
      <c r="J176" s="30">
        <f t="shared" si="22"/>
        <v>310</v>
      </c>
      <c r="K176" s="195"/>
      <c r="L176" s="27">
        <f t="shared" si="21"/>
        <v>360.39074962261463</v>
      </c>
    </row>
    <row r="177" spans="1:12" x14ac:dyDescent="0.45">
      <c r="A177" s="318"/>
      <c r="B177" s="5" t="s">
        <v>11</v>
      </c>
      <c r="C177" s="2">
        <v>403</v>
      </c>
      <c r="D177" s="1">
        <v>3151849</v>
      </c>
      <c r="E177" s="1">
        <v>3169165</v>
      </c>
      <c r="F177" s="41">
        <f t="shared" si="23"/>
        <v>17.315999999999999</v>
      </c>
      <c r="G177" s="22">
        <f t="shared" si="18"/>
        <v>67.712908573056112</v>
      </c>
      <c r="H177" s="45">
        <f t="shared" si="19"/>
        <v>10.832896589290819</v>
      </c>
      <c r="I177" s="42">
        <f t="shared" si="20"/>
        <v>78.545805162346937</v>
      </c>
      <c r="J177" s="30">
        <f t="shared" si="22"/>
        <v>310</v>
      </c>
      <c r="K177" s="195"/>
      <c r="L177" s="27">
        <f t="shared" si="21"/>
        <v>388.54580516234694</v>
      </c>
    </row>
    <row r="178" spans="1:12" x14ac:dyDescent="0.45">
      <c r="A178" s="318"/>
      <c r="B178" s="5" t="s">
        <v>11</v>
      </c>
      <c r="C178" s="2">
        <v>404</v>
      </c>
      <c r="D178" s="1">
        <v>4118650</v>
      </c>
      <c r="E178" s="1">
        <v>4120735</v>
      </c>
      <c r="F178" s="41">
        <f t="shared" si="23"/>
        <v>2.085</v>
      </c>
      <c r="G178" s="22">
        <f t="shared" si="18"/>
        <v>8.1532348333808038</v>
      </c>
      <c r="H178" s="45">
        <f t="shared" si="19"/>
        <v>10.832896589290819</v>
      </c>
      <c r="I178" s="42">
        <f t="shared" si="20"/>
        <v>18.986131422671622</v>
      </c>
      <c r="J178" s="30">
        <f t="shared" si="22"/>
        <v>310</v>
      </c>
      <c r="K178" s="195"/>
      <c r="L178" s="27">
        <f t="shared" si="21"/>
        <v>328.98613142267163</v>
      </c>
    </row>
    <row r="179" spans="1:12" x14ac:dyDescent="0.45">
      <c r="A179" s="318"/>
      <c r="B179" s="5" t="s">
        <v>11</v>
      </c>
      <c r="C179" s="2">
        <v>501</v>
      </c>
      <c r="D179" s="1">
        <v>3723992</v>
      </c>
      <c r="E179" s="1">
        <v>3749500</v>
      </c>
      <c r="F179" s="41">
        <f t="shared" si="23"/>
        <v>25.507999999999999</v>
      </c>
      <c r="G179" s="22">
        <f t="shared" si="18"/>
        <v>99.747105098262608</v>
      </c>
      <c r="H179" s="45">
        <f t="shared" si="19"/>
        <v>10.832896589290819</v>
      </c>
      <c r="I179" s="42">
        <f t="shared" si="20"/>
        <v>110.58000168755342</v>
      </c>
      <c r="J179" s="30">
        <f t="shared" si="22"/>
        <v>310</v>
      </c>
      <c r="K179" s="195">
        <v>10</v>
      </c>
      <c r="L179" s="27">
        <f t="shared" si="21"/>
        <v>430.58000168755342</v>
      </c>
    </row>
    <row r="180" spans="1:12" x14ac:dyDescent="0.45">
      <c r="A180" s="318"/>
      <c r="B180" s="5" t="s">
        <v>11</v>
      </c>
      <c r="C180" s="2">
        <v>502</v>
      </c>
      <c r="D180" s="1">
        <v>3837309</v>
      </c>
      <c r="E180" s="1">
        <v>3852317</v>
      </c>
      <c r="F180" s="41">
        <f t="shared" si="23"/>
        <v>15.008000000000001</v>
      </c>
      <c r="G180" s="22">
        <f t="shared" si="18"/>
        <v>58.687649102819719</v>
      </c>
      <c r="H180" s="45">
        <f t="shared" si="19"/>
        <v>10.832896589290819</v>
      </c>
      <c r="I180" s="42">
        <f t="shared" si="20"/>
        <v>69.520545692110545</v>
      </c>
      <c r="J180" s="30">
        <f t="shared" si="22"/>
        <v>310</v>
      </c>
      <c r="K180" s="195">
        <v>10</v>
      </c>
      <c r="L180" s="27">
        <f t="shared" si="21"/>
        <v>389.52054569211055</v>
      </c>
    </row>
    <row r="181" spans="1:12" x14ac:dyDescent="0.45">
      <c r="A181" s="318"/>
      <c r="B181" s="5" t="s">
        <v>11</v>
      </c>
      <c r="C181" s="2">
        <v>503</v>
      </c>
      <c r="D181" s="1">
        <v>2302096</v>
      </c>
      <c r="E181" s="1">
        <v>2318257</v>
      </c>
      <c r="F181" s="41">
        <f t="shared" si="23"/>
        <v>16.161000000000001</v>
      </c>
      <c r="G181" s="22">
        <f t="shared" si="18"/>
        <v>63.196368413557408</v>
      </c>
      <c r="H181" s="45">
        <f t="shared" si="19"/>
        <v>10.832896589290819</v>
      </c>
      <c r="I181" s="42">
        <f t="shared" si="20"/>
        <v>74.029265002848234</v>
      </c>
      <c r="J181" s="30">
        <f t="shared" si="22"/>
        <v>310</v>
      </c>
      <c r="K181" s="195"/>
      <c r="L181" s="27">
        <f t="shared" si="21"/>
        <v>384.02926500284821</v>
      </c>
    </row>
    <row r="182" spans="1:12" x14ac:dyDescent="0.45">
      <c r="A182" s="318"/>
      <c r="B182" s="5" t="s">
        <v>11</v>
      </c>
      <c r="C182" s="2">
        <v>504</v>
      </c>
      <c r="D182" s="1">
        <v>3133538</v>
      </c>
      <c r="E182" s="1">
        <v>3155097</v>
      </c>
      <c r="F182" s="41">
        <f t="shared" si="23"/>
        <v>21.559000000000001</v>
      </c>
      <c r="G182" s="22">
        <f t="shared" si="18"/>
        <v>84.304839219595578</v>
      </c>
      <c r="H182" s="45">
        <f t="shared" si="19"/>
        <v>10.832896589290819</v>
      </c>
      <c r="I182" s="42">
        <f t="shared" si="20"/>
        <v>95.13773580888639</v>
      </c>
      <c r="J182" s="30">
        <f t="shared" si="22"/>
        <v>310</v>
      </c>
      <c r="K182" s="195">
        <v>10</v>
      </c>
      <c r="L182" s="27">
        <f t="shared" si="21"/>
        <v>415.13773580888642</v>
      </c>
    </row>
    <row r="183" spans="1:12" ht="15" customHeight="1" x14ac:dyDescent="0.45">
      <c r="F183" s="27">
        <f>SUM(F3:F182)</f>
        <v>3012.3529999999992</v>
      </c>
      <c r="G183" s="22">
        <f>MMULT($G$1,1/$F$183)*F183</f>
        <v>11779.578613927655</v>
      </c>
      <c r="H183" s="45">
        <f>SUM(H3:H182)</f>
        <v>1949.9213860723505</v>
      </c>
      <c r="I183" s="42">
        <f>SUM(G183,H183)</f>
        <v>13729.500000000005</v>
      </c>
    </row>
    <row r="184" spans="1:12" ht="15" customHeight="1" x14ac:dyDescent="0.45">
      <c r="F184" t="s">
        <v>12</v>
      </c>
      <c r="I184" s="109">
        <f>SUM(-E190,I1)</f>
        <v>0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7967.7</v>
      </c>
      <c r="F188" s="93">
        <v>2021</v>
      </c>
      <c r="G188" s="92">
        <f>MMULT(E188,1/F188)</f>
        <v>3.9424542305789214</v>
      </c>
      <c r="H188" s="20"/>
    </row>
    <row r="189" spans="1:12" ht="15" customHeight="1" thickBot="1" x14ac:dyDescent="0.5">
      <c r="D189" s="46">
        <v>6244619</v>
      </c>
      <c r="E189" s="88">
        <v>5761.8</v>
      </c>
      <c r="F189" s="94">
        <v>1490</v>
      </c>
      <c r="G189" s="92">
        <f>MMULT(E189,1/F189)</f>
        <v>3.8669798657718122</v>
      </c>
      <c r="H189" s="152"/>
    </row>
    <row r="190" spans="1:12" ht="15" customHeight="1" thickBot="1" x14ac:dyDescent="0.5">
      <c r="D190" s="6" t="s">
        <v>33</v>
      </c>
      <c r="E190" s="48">
        <f>SUM(E188:E189)</f>
        <v>13729.5</v>
      </c>
      <c r="F190" s="95">
        <f>SUM(F188:F189)</f>
        <v>3511</v>
      </c>
      <c r="H190" s="61"/>
    </row>
    <row r="191" spans="1:12" ht="15" customHeight="1" x14ac:dyDescent="0.45">
      <c r="H191" s="61"/>
    </row>
    <row r="192" spans="1:12" ht="15" customHeight="1" x14ac:dyDescent="0.45">
      <c r="D192" s="319" t="s">
        <v>69</v>
      </c>
      <c r="E192" s="319"/>
      <c r="F192" s="49">
        <f>SUM(F190)</f>
        <v>3511</v>
      </c>
      <c r="G192" s="41">
        <f>SUM(I192)</f>
        <v>3.9104243805183709</v>
      </c>
      <c r="I192" s="157" cm="1">
        <f t="array" ref="I192">MMULT(E190,1/F190)</f>
        <v>3.9104243805183709</v>
      </c>
    </row>
    <row r="193" spans="4:8" ht="15" customHeight="1" x14ac:dyDescent="0.45">
      <c r="D193" s="320" t="s">
        <v>271</v>
      </c>
      <c r="E193" s="321"/>
      <c r="F193" s="49">
        <f>SUM(F183)</f>
        <v>3012.3529999999992</v>
      </c>
      <c r="G193" s="150">
        <f>MMULT(F193,G192)</f>
        <v>11779.578613927653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498.64700000000084</v>
      </c>
      <c r="G194" s="151">
        <f>MMULT(F194,G192)</f>
        <v>1949.9213860723473</v>
      </c>
      <c r="H194" s="61"/>
    </row>
    <row r="195" spans="4:8" ht="15" customHeight="1" thickBot="1" x14ac:dyDescent="0.5">
      <c r="F195" s="7"/>
      <c r="G195" s="48">
        <f>SUM(G193:G194)</f>
        <v>13729.5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73.510999999999996</v>
      </c>
      <c r="G198" s="20">
        <f>MAX(I3:I182)</f>
        <v>298.2921032255768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10.832896589290819</v>
      </c>
    </row>
    <row r="200" spans="4:8" ht="15" customHeight="1" x14ac:dyDescent="0.45">
      <c r="D200" t="s">
        <v>265</v>
      </c>
      <c r="F200" s="92">
        <f>AVERAGE(F3:F182)</f>
        <v>16.735294444444438</v>
      </c>
      <c r="G200" s="92">
        <f>AVERAGE(G3:G182)</f>
        <v>65.442103410709223</v>
      </c>
    </row>
    <row r="201" spans="4:8" ht="15" customHeight="1" x14ac:dyDescent="0.45">
      <c r="D201" t="s">
        <v>273</v>
      </c>
      <c r="F201" s="92">
        <f>AVERAGE(F199,F198)</f>
        <v>36.755499999999998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EA8A1-F8BC-4662-A2D5-2128C4058964}">
  <dimension ref="A1:O222"/>
  <sheetViews>
    <sheetView zoomScale="85" zoomScaleNormal="85" workbookViewId="0">
      <pane xSplit="1" ySplit="2" topLeftCell="B183" activePane="bottomRight" state="frozen"/>
      <selection pane="topRight" activeCell="B1" sqref="B1"/>
      <selection pane="bottomLeft" activeCell="A4" sqref="A4"/>
      <selection pane="bottomRight" activeCell="F159" sqref="F159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11536.461437404592</v>
      </c>
      <c r="H1" s="27">
        <f>SUM(G194)</f>
        <v>2895.3385625954097</v>
      </c>
      <c r="I1" s="316">
        <f>SUM(G1:H1)</f>
        <v>14431.800000000003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43871</v>
      </c>
      <c r="E2" s="3">
        <v>43900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3039878</v>
      </c>
      <c r="E3" s="1">
        <v>3051833</v>
      </c>
      <c r="F3" s="41">
        <f t="shared" ref="F3:F22" si="0">(E3-D3)*$N$1</f>
        <v>11.955</v>
      </c>
      <c r="G3" s="22">
        <f>MMULT($G$1,1/$F$183)*F3</f>
        <v>47.037123500545256</v>
      </c>
      <c r="H3" s="45">
        <f>MMULT($H$1,1/180)</f>
        <v>16.085214236641164</v>
      </c>
      <c r="I3" s="42">
        <f>SUM(G3,H3)</f>
        <v>63.12233773718642</v>
      </c>
      <c r="J3" s="30">
        <v>310</v>
      </c>
      <c r="K3" s="195"/>
      <c r="L3" s="27">
        <f>SUM(I3,J3,K3)</f>
        <v>373.1223377371864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1917725</v>
      </c>
      <c r="E4" s="1">
        <v>1926650</v>
      </c>
      <c r="F4" s="41">
        <f t="shared" si="0"/>
        <v>8.9250000000000007</v>
      </c>
      <c r="G4" s="22">
        <f t="shared" ref="G4:G67" si="1">MMULT($G$1,1/$F$183)*F4</f>
        <v>35.115543893129775</v>
      </c>
      <c r="H4" s="45">
        <f t="shared" ref="H4:H67" si="2">MMULT($H$1,1/180)</f>
        <v>16.085214236641164</v>
      </c>
      <c r="I4" s="42">
        <f t="shared" ref="I4:I67" si="3">SUM(G4,H4)</f>
        <v>51.200758129770939</v>
      </c>
      <c r="J4" s="30">
        <f>SUM(J3)</f>
        <v>310</v>
      </c>
      <c r="K4" s="195"/>
      <c r="L4" s="27">
        <f>SUM(I4,J4,K4)</f>
        <v>361.20075812977092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2839579</v>
      </c>
      <c r="E5" s="1">
        <v>2849123</v>
      </c>
      <c r="F5" s="41">
        <f t="shared" si="0"/>
        <v>9.5440000000000005</v>
      </c>
      <c r="G5" s="22">
        <f t="shared" si="1"/>
        <v>37.551008505997821</v>
      </c>
      <c r="H5" s="45">
        <f t="shared" si="2"/>
        <v>16.085214236641164</v>
      </c>
      <c r="I5" s="42">
        <f t="shared" si="3"/>
        <v>53.636222742638985</v>
      </c>
      <c r="J5" s="30">
        <f t="shared" ref="J5:J68" si="4">SUM(J4)</f>
        <v>310</v>
      </c>
      <c r="K5" s="195">
        <v>10</v>
      </c>
      <c r="L5" s="27">
        <f t="shared" ref="L5:L67" si="5">SUM(I5,J5,K5)</f>
        <v>373.63622274263901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2439579</v>
      </c>
      <c r="E6" s="1">
        <v>2447431</v>
      </c>
      <c r="F6" s="41">
        <f t="shared" si="0"/>
        <v>7.8520000000000003</v>
      </c>
      <c r="G6" s="22">
        <f t="shared" si="1"/>
        <v>30.893809596510362</v>
      </c>
      <c r="H6" s="45">
        <f t="shared" si="2"/>
        <v>16.085214236641164</v>
      </c>
      <c r="I6" s="42">
        <f t="shared" si="3"/>
        <v>46.97902383315153</v>
      </c>
      <c r="J6" s="30">
        <f t="shared" si="4"/>
        <v>310</v>
      </c>
      <c r="K6" s="195"/>
      <c r="L6" s="27">
        <f t="shared" si="5"/>
        <v>356.97902383315153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3561367</v>
      </c>
      <c r="E7" s="1">
        <v>3575939</v>
      </c>
      <c r="F7" s="41">
        <f t="shared" si="0"/>
        <v>14.572000000000001</v>
      </c>
      <c r="G7" s="22">
        <f t="shared" si="1"/>
        <v>57.333748527808076</v>
      </c>
      <c r="H7" s="45">
        <f t="shared" si="2"/>
        <v>16.085214236641164</v>
      </c>
      <c r="I7" s="42">
        <f t="shared" si="3"/>
        <v>73.418962764449248</v>
      </c>
      <c r="J7" s="30">
        <f t="shared" si="4"/>
        <v>310</v>
      </c>
      <c r="K7" s="195"/>
      <c r="L7" s="27">
        <f t="shared" si="5"/>
        <v>383.41896276444925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34334</v>
      </c>
      <c r="E8" s="1">
        <v>49702</v>
      </c>
      <c r="F8" s="41">
        <f t="shared" si="0"/>
        <v>15.368</v>
      </c>
      <c r="G8" s="22">
        <f t="shared" si="1"/>
        <v>60.465622246455837</v>
      </c>
      <c r="H8" s="45">
        <f t="shared" si="2"/>
        <v>16.085214236641164</v>
      </c>
      <c r="I8" s="42">
        <f t="shared" si="3"/>
        <v>76.550836483097001</v>
      </c>
      <c r="J8" s="30">
        <f t="shared" si="4"/>
        <v>310</v>
      </c>
      <c r="K8" s="195"/>
      <c r="L8" s="27">
        <f t="shared" si="5"/>
        <v>386.55083648309699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4748016</v>
      </c>
      <c r="E9" s="1">
        <v>4767887</v>
      </c>
      <c r="F9" s="41">
        <f t="shared" si="0"/>
        <v>19.870999999999999</v>
      </c>
      <c r="G9" s="22">
        <f t="shared" si="1"/>
        <v>78.182742039258443</v>
      </c>
      <c r="H9" s="45">
        <f t="shared" si="2"/>
        <v>16.085214236641164</v>
      </c>
      <c r="I9" s="42">
        <f t="shared" si="3"/>
        <v>94.267956275899607</v>
      </c>
      <c r="J9" s="30">
        <f t="shared" si="4"/>
        <v>310</v>
      </c>
      <c r="K9" s="195"/>
      <c r="L9" s="27">
        <f t="shared" si="5"/>
        <v>404.26795627589962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1856587</v>
      </c>
      <c r="E10" s="1">
        <v>1868153</v>
      </c>
      <c r="F10" s="41">
        <f t="shared" si="0"/>
        <v>11.566000000000001</v>
      </c>
      <c r="G10" s="22">
        <f t="shared" si="1"/>
        <v>45.506597273718654</v>
      </c>
      <c r="H10" s="45">
        <f t="shared" si="2"/>
        <v>16.085214236641164</v>
      </c>
      <c r="I10" s="42">
        <f t="shared" si="3"/>
        <v>61.591811510359818</v>
      </c>
      <c r="J10" s="30">
        <f t="shared" si="4"/>
        <v>310</v>
      </c>
      <c r="K10" s="195"/>
      <c r="L10" s="27">
        <f t="shared" si="5"/>
        <v>371.59181151035983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3932844</v>
      </c>
      <c r="E11" s="1">
        <v>3932844</v>
      </c>
      <c r="F11" s="41">
        <f t="shared" si="0"/>
        <v>0</v>
      </c>
      <c r="G11" s="22">
        <f t="shared" si="1"/>
        <v>0</v>
      </c>
      <c r="H11" s="45">
        <f t="shared" si="2"/>
        <v>16.085214236641164</v>
      </c>
      <c r="I11" s="42">
        <f t="shared" si="3"/>
        <v>16.085214236641164</v>
      </c>
      <c r="J11" s="30">
        <f t="shared" si="4"/>
        <v>310</v>
      </c>
      <c r="K11" s="195">
        <v>10</v>
      </c>
      <c r="L11" s="27">
        <f t="shared" si="5"/>
        <v>336.08521423664115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4160313</v>
      </c>
      <c r="E12" s="1">
        <v>4184002</v>
      </c>
      <c r="F12" s="41">
        <f t="shared" si="0"/>
        <v>23.689</v>
      </c>
      <c r="G12" s="22">
        <f t="shared" si="1"/>
        <v>93.20471924754635</v>
      </c>
      <c r="H12" s="45">
        <f t="shared" si="2"/>
        <v>16.085214236641164</v>
      </c>
      <c r="I12" s="42">
        <f t="shared" si="3"/>
        <v>109.28993348418751</v>
      </c>
      <c r="J12" s="30">
        <f t="shared" si="4"/>
        <v>310</v>
      </c>
      <c r="K12" s="195">
        <v>10</v>
      </c>
      <c r="L12" s="27">
        <f t="shared" si="5"/>
        <v>429.28993348418749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3478969</v>
      </c>
      <c r="E13" s="1">
        <v>3501697</v>
      </c>
      <c r="F13" s="41">
        <f t="shared" si="0"/>
        <v>22.728000000000002</v>
      </c>
      <c r="G13" s="22">
        <f t="shared" si="1"/>
        <v>89.423650599781908</v>
      </c>
      <c r="H13" s="45">
        <f t="shared" si="2"/>
        <v>16.085214236641164</v>
      </c>
      <c r="I13" s="42">
        <f t="shared" si="3"/>
        <v>105.50886483642307</v>
      </c>
      <c r="J13" s="30">
        <f t="shared" si="4"/>
        <v>310</v>
      </c>
      <c r="K13" s="195"/>
      <c r="L13" s="27">
        <f t="shared" si="5"/>
        <v>415.50886483642307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1559563</v>
      </c>
      <c r="E14" s="1">
        <v>1573544</v>
      </c>
      <c r="F14" s="41">
        <f t="shared" si="0"/>
        <v>13.981</v>
      </c>
      <c r="G14" s="22">
        <f t="shared" si="1"/>
        <v>55.00845032715376</v>
      </c>
      <c r="H14" s="45">
        <f t="shared" si="2"/>
        <v>16.085214236641164</v>
      </c>
      <c r="I14" s="42">
        <f t="shared" si="3"/>
        <v>71.093664563794931</v>
      </c>
      <c r="J14" s="30">
        <f t="shared" si="4"/>
        <v>310</v>
      </c>
      <c r="K14" s="195"/>
      <c r="L14" s="27">
        <f t="shared" si="5"/>
        <v>381.09366456379496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2180499</v>
      </c>
      <c r="E15" s="1">
        <v>2191260</v>
      </c>
      <c r="F15" s="41">
        <f t="shared" si="0"/>
        <v>10.761000000000001</v>
      </c>
      <c r="G15" s="22">
        <f t="shared" si="1"/>
        <v>42.339312922573612</v>
      </c>
      <c r="H15" s="45">
        <f t="shared" si="2"/>
        <v>16.085214236641164</v>
      </c>
      <c r="I15" s="42">
        <f t="shared" si="3"/>
        <v>58.424527159214776</v>
      </c>
      <c r="J15" s="30">
        <f t="shared" si="4"/>
        <v>310</v>
      </c>
      <c r="K15" s="195">
        <v>10</v>
      </c>
      <c r="L15" s="27">
        <f t="shared" si="5"/>
        <v>378.42452715921479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5507492</v>
      </c>
      <c r="E16" s="1">
        <v>5508874</v>
      </c>
      <c r="F16" s="41">
        <f t="shared" si="0"/>
        <v>1.3820000000000001</v>
      </c>
      <c r="G16" s="22">
        <f t="shared" si="1"/>
        <v>5.4374993456924763</v>
      </c>
      <c r="H16" s="45">
        <f t="shared" si="2"/>
        <v>16.085214236641164</v>
      </c>
      <c r="I16" s="42">
        <f t="shared" si="3"/>
        <v>21.52271358233364</v>
      </c>
      <c r="J16" s="30">
        <f t="shared" si="4"/>
        <v>310</v>
      </c>
      <c r="K16" s="195">
        <v>10</v>
      </c>
      <c r="L16" s="27">
        <f t="shared" si="5"/>
        <v>341.52271358233367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2929957</v>
      </c>
      <c r="E17" s="1">
        <v>2940193</v>
      </c>
      <c r="F17" s="41">
        <f t="shared" si="0"/>
        <v>10.236000000000001</v>
      </c>
      <c r="G17" s="22">
        <f t="shared" si="1"/>
        <v>40.273692693565977</v>
      </c>
      <c r="H17" s="45">
        <f t="shared" si="2"/>
        <v>16.085214236641164</v>
      </c>
      <c r="I17" s="42">
        <f t="shared" si="3"/>
        <v>56.358906930207141</v>
      </c>
      <c r="J17" s="30">
        <f t="shared" si="4"/>
        <v>310</v>
      </c>
      <c r="K17" s="195"/>
      <c r="L17" s="27">
        <f t="shared" si="5"/>
        <v>366.35890693020713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2549756</v>
      </c>
      <c r="E18" s="1">
        <v>2564883</v>
      </c>
      <c r="F18" s="41">
        <f t="shared" si="0"/>
        <v>15.127000000000001</v>
      </c>
      <c r="G18" s="22">
        <f t="shared" si="1"/>
        <v>59.517404198473287</v>
      </c>
      <c r="H18" s="45">
        <f t="shared" si="2"/>
        <v>16.085214236641164</v>
      </c>
      <c r="I18" s="42">
        <f t="shared" si="3"/>
        <v>75.602618435114451</v>
      </c>
      <c r="J18" s="30">
        <v>310</v>
      </c>
      <c r="K18" s="195"/>
      <c r="L18" s="27">
        <f t="shared" si="5"/>
        <v>385.60261843511444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3724103</v>
      </c>
      <c r="E19" s="1">
        <v>3740029</v>
      </c>
      <c r="F19" s="41">
        <f t="shared" si="0"/>
        <v>15.926</v>
      </c>
      <c r="G19" s="22">
        <f t="shared" si="1"/>
        <v>62.661081461286805</v>
      </c>
      <c r="H19" s="45">
        <f t="shared" si="2"/>
        <v>16.085214236641164</v>
      </c>
      <c r="I19" s="42">
        <f t="shared" si="3"/>
        <v>78.746295697927962</v>
      </c>
      <c r="J19" s="30">
        <f t="shared" si="4"/>
        <v>310</v>
      </c>
      <c r="K19" s="195"/>
      <c r="L19" s="27">
        <f t="shared" si="5"/>
        <v>388.74629569792796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5514978</v>
      </c>
      <c r="E20" s="1">
        <v>5551216</v>
      </c>
      <c r="F20" s="41">
        <f t="shared" si="0"/>
        <v>36.238</v>
      </c>
      <c r="G20" s="22">
        <f t="shared" si="1"/>
        <v>142.57894449291166</v>
      </c>
      <c r="H20" s="45">
        <f t="shared" si="2"/>
        <v>16.085214236641164</v>
      </c>
      <c r="I20" s="42">
        <f t="shared" si="3"/>
        <v>158.66415872955281</v>
      </c>
      <c r="J20" s="30">
        <f t="shared" si="4"/>
        <v>310</v>
      </c>
      <c r="K20" s="195"/>
      <c r="L20" s="27">
        <f t="shared" si="5"/>
        <v>468.66415872955281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1814564</v>
      </c>
      <c r="E21" s="1">
        <v>1829050</v>
      </c>
      <c r="F21" s="41">
        <f t="shared" si="0"/>
        <v>14.486000000000001</v>
      </c>
      <c r="G21" s="22">
        <f t="shared" si="1"/>
        <v>56.995380261723014</v>
      </c>
      <c r="H21" s="45">
        <f t="shared" si="2"/>
        <v>16.085214236641164</v>
      </c>
      <c r="I21" s="42">
        <f t="shared" si="3"/>
        <v>73.080594498364178</v>
      </c>
      <c r="J21" s="30">
        <f t="shared" si="4"/>
        <v>310</v>
      </c>
      <c r="K21" s="195"/>
      <c r="L21" s="27">
        <f t="shared" si="5"/>
        <v>383.08059449836418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278269</v>
      </c>
      <c r="E22" s="1">
        <v>279370</v>
      </c>
      <c r="F22" s="41">
        <f t="shared" si="0"/>
        <v>1.101</v>
      </c>
      <c r="G22" s="22">
        <f t="shared" si="1"/>
        <v>4.3319007088331514</v>
      </c>
      <c r="H22" s="45">
        <f t="shared" si="2"/>
        <v>16.085214236641164</v>
      </c>
      <c r="I22" s="42">
        <f t="shared" si="3"/>
        <v>20.417114945474317</v>
      </c>
      <c r="J22" s="30">
        <f t="shared" si="4"/>
        <v>310</v>
      </c>
      <c r="K22" s="195"/>
      <c r="L22" s="27">
        <f t="shared" si="5"/>
        <v>330.41711494547434</v>
      </c>
    </row>
    <row r="23" spans="1:12" ht="15" customHeight="1" x14ac:dyDescent="0.45">
      <c r="A23" s="314"/>
      <c r="B23" s="5" t="s">
        <v>4</v>
      </c>
      <c r="C23" s="2">
        <v>101</v>
      </c>
      <c r="D23" s="1">
        <v>77614</v>
      </c>
      <c r="E23" s="1">
        <v>78825</v>
      </c>
      <c r="F23" s="41">
        <f>(E23-D23)*0.01</f>
        <v>12.11</v>
      </c>
      <c r="G23" s="22">
        <f t="shared" si="1"/>
        <v>47.646973282442744</v>
      </c>
      <c r="H23" s="45">
        <f t="shared" si="2"/>
        <v>16.085214236641164</v>
      </c>
      <c r="I23" s="42">
        <f t="shared" si="3"/>
        <v>63.732187519083908</v>
      </c>
      <c r="J23" s="30">
        <f t="shared" si="4"/>
        <v>310</v>
      </c>
      <c r="K23" s="195"/>
      <c r="L23" s="27">
        <f t="shared" si="5"/>
        <v>373.73218751908394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3335542</v>
      </c>
      <c r="E24" s="1">
        <v>3356912</v>
      </c>
      <c r="F24" s="41">
        <f t="shared" ref="F24:F32" si="6">(E24-D24)*$N$1</f>
        <v>21.37</v>
      </c>
      <c r="G24" s="22">
        <f t="shared" si="1"/>
        <v>84.080579607415487</v>
      </c>
      <c r="H24" s="45">
        <f t="shared" si="2"/>
        <v>16.085214236641164</v>
      </c>
      <c r="I24" s="42">
        <f t="shared" si="3"/>
        <v>100.16579384405665</v>
      </c>
      <c r="J24" s="30">
        <f t="shared" si="4"/>
        <v>310</v>
      </c>
      <c r="K24" s="195">
        <v>10</v>
      </c>
      <c r="L24" s="27">
        <f t="shared" si="5"/>
        <v>420.16579384405668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3360542</v>
      </c>
      <c r="E25" s="1">
        <v>3380966</v>
      </c>
      <c r="F25" s="41">
        <f t="shared" si="6"/>
        <v>20.423999999999999</v>
      </c>
      <c r="G25" s="22">
        <f t="shared" si="1"/>
        <v>80.358528680479822</v>
      </c>
      <c r="H25" s="45">
        <f t="shared" si="2"/>
        <v>16.085214236641164</v>
      </c>
      <c r="I25" s="42">
        <f t="shared" si="3"/>
        <v>96.443742917120986</v>
      </c>
      <c r="J25" s="30">
        <f t="shared" si="4"/>
        <v>310</v>
      </c>
      <c r="K25" s="195"/>
      <c r="L25" s="27">
        <f t="shared" si="5"/>
        <v>406.44374291712097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5180769</v>
      </c>
      <c r="E26" s="1">
        <v>5197312</v>
      </c>
      <c r="F26" s="41">
        <f t="shared" si="6"/>
        <v>16.542999999999999</v>
      </c>
      <c r="G26" s="22">
        <f t="shared" si="1"/>
        <v>65.088677044711019</v>
      </c>
      <c r="H26" s="45">
        <f t="shared" si="2"/>
        <v>16.085214236641164</v>
      </c>
      <c r="I26" s="42">
        <f t="shared" si="3"/>
        <v>81.173891281352184</v>
      </c>
      <c r="J26" s="30">
        <f t="shared" si="4"/>
        <v>310</v>
      </c>
      <c r="K26" s="195"/>
      <c r="L26" s="27">
        <f t="shared" si="5"/>
        <v>391.17389128135221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2609072</v>
      </c>
      <c r="E27" s="1">
        <v>2629184</v>
      </c>
      <c r="F27" s="41">
        <f t="shared" si="6"/>
        <v>20.112000000000002</v>
      </c>
      <c r="G27" s="22">
        <f t="shared" si="1"/>
        <v>79.130960087241007</v>
      </c>
      <c r="H27" s="45">
        <f t="shared" si="2"/>
        <v>16.085214236641164</v>
      </c>
      <c r="I27" s="42">
        <f t="shared" si="3"/>
        <v>95.216174323882171</v>
      </c>
      <c r="J27" s="30">
        <f t="shared" si="4"/>
        <v>310</v>
      </c>
      <c r="K27" s="195"/>
      <c r="L27" s="27">
        <f t="shared" si="5"/>
        <v>405.21617432388217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2494522</v>
      </c>
      <c r="E28" s="1">
        <v>2503889</v>
      </c>
      <c r="F28" s="41">
        <f t="shared" si="6"/>
        <v>9.3670000000000009</v>
      </c>
      <c r="G28" s="22">
        <f t="shared" si="1"/>
        <v>36.854599400218106</v>
      </c>
      <c r="H28" s="45">
        <f t="shared" si="2"/>
        <v>16.085214236641164</v>
      </c>
      <c r="I28" s="42">
        <f t="shared" si="3"/>
        <v>52.93981363685927</v>
      </c>
      <c r="J28" s="30">
        <f t="shared" si="4"/>
        <v>310</v>
      </c>
      <c r="K28" s="195"/>
      <c r="L28" s="27">
        <f t="shared" si="5"/>
        <v>362.9398136368593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2372653</v>
      </c>
      <c r="E29" s="1">
        <v>2386149</v>
      </c>
      <c r="F29" s="41">
        <f t="shared" si="6"/>
        <v>13.496</v>
      </c>
      <c r="G29" s="22">
        <f t="shared" si="1"/>
        <v>53.100210687022901</v>
      </c>
      <c r="H29" s="45">
        <f t="shared" si="2"/>
        <v>16.085214236641164</v>
      </c>
      <c r="I29" s="42">
        <f t="shared" si="3"/>
        <v>69.185424923664073</v>
      </c>
      <c r="J29" s="30">
        <f t="shared" si="4"/>
        <v>310</v>
      </c>
      <c r="K29" s="195">
        <v>10</v>
      </c>
      <c r="L29" s="27">
        <f t="shared" si="5"/>
        <v>389.18542492366407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2705853</v>
      </c>
      <c r="E30" s="1">
        <v>2718657</v>
      </c>
      <c r="F30" s="41">
        <f t="shared" si="6"/>
        <v>12.804</v>
      </c>
      <c r="G30" s="22">
        <f t="shared" si="1"/>
        <v>50.377526499454746</v>
      </c>
      <c r="H30" s="45">
        <f t="shared" si="2"/>
        <v>16.085214236641164</v>
      </c>
      <c r="I30" s="42">
        <f t="shared" si="3"/>
        <v>66.46274073609591</v>
      </c>
      <c r="J30" s="30">
        <f t="shared" si="4"/>
        <v>310</v>
      </c>
      <c r="K30" s="195"/>
      <c r="L30" s="27">
        <f t="shared" si="5"/>
        <v>376.4627407360959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4157091</v>
      </c>
      <c r="E31" s="1">
        <v>4168404</v>
      </c>
      <c r="F31" s="41">
        <f t="shared" si="6"/>
        <v>11.313000000000001</v>
      </c>
      <c r="G31" s="22">
        <f t="shared" si="1"/>
        <v>44.511165049073071</v>
      </c>
      <c r="H31" s="45">
        <f t="shared" si="2"/>
        <v>16.085214236641164</v>
      </c>
      <c r="I31" s="42">
        <f t="shared" si="3"/>
        <v>60.596379285714235</v>
      </c>
      <c r="J31" s="30">
        <f t="shared" si="4"/>
        <v>310</v>
      </c>
      <c r="K31" s="195"/>
      <c r="L31" s="27">
        <f t="shared" si="5"/>
        <v>370.59637928571425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2473698</v>
      </c>
      <c r="E32" s="1">
        <v>2484081</v>
      </c>
      <c r="F32" s="41">
        <f t="shared" si="6"/>
        <v>10.383000000000001</v>
      </c>
      <c r="G32" s="22">
        <f t="shared" si="1"/>
        <v>40.852066357688116</v>
      </c>
      <c r="H32" s="45">
        <f t="shared" si="2"/>
        <v>16.085214236641164</v>
      </c>
      <c r="I32" s="42">
        <f t="shared" si="3"/>
        <v>56.93728059432928</v>
      </c>
      <c r="J32" s="30">
        <f t="shared" si="4"/>
        <v>310</v>
      </c>
      <c r="K32" s="195"/>
      <c r="L32" s="27">
        <f t="shared" si="5"/>
        <v>366.93728059432931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108832</v>
      </c>
      <c r="E33" s="1">
        <v>110026</v>
      </c>
      <c r="F33" s="41">
        <f>(E33-D33)*0.01</f>
        <v>11.94</v>
      </c>
      <c r="G33" s="22">
        <f t="shared" si="1"/>
        <v>46.978105779716465</v>
      </c>
      <c r="H33" s="45">
        <f t="shared" si="2"/>
        <v>16.085214236641164</v>
      </c>
      <c r="I33" s="42">
        <f t="shared" si="3"/>
        <v>63.063320016357629</v>
      </c>
      <c r="J33" s="30">
        <f t="shared" si="4"/>
        <v>310</v>
      </c>
      <c r="K33" s="195"/>
      <c r="L33" s="27">
        <f t="shared" si="5"/>
        <v>373.06332001635764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3263394</v>
      </c>
      <c r="E34" s="1">
        <v>3293748</v>
      </c>
      <c r="F34" s="41">
        <f t="shared" ref="F34:F42" si="7">(E34-D34)*$N$1</f>
        <v>30.353999999999999</v>
      </c>
      <c r="G34" s="22">
        <f t="shared" si="1"/>
        <v>119.4282598691385</v>
      </c>
      <c r="H34" s="45">
        <f t="shared" si="2"/>
        <v>16.085214236641164</v>
      </c>
      <c r="I34" s="42">
        <f t="shared" si="3"/>
        <v>135.51347410577966</v>
      </c>
      <c r="J34" s="30">
        <f t="shared" si="4"/>
        <v>310</v>
      </c>
      <c r="K34" s="195"/>
      <c r="L34" s="27">
        <f t="shared" si="5"/>
        <v>445.51347410577966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3209122</v>
      </c>
      <c r="E35" s="1">
        <v>3224867</v>
      </c>
      <c r="F35" s="41">
        <f t="shared" si="7"/>
        <v>15.745000000000001</v>
      </c>
      <c r="G35" s="22">
        <f t="shared" si="1"/>
        <v>61.94893429661942</v>
      </c>
      <c r="H35" s="45">
        <f t="shared" si="2"/>
        <v>16.085214236641164</v>
      </c>
      <c r="I35" s="42">
        <f t="shared" si="3"/>
        <v>78.034148533260577</v>
      </c>
      <c r="J35" s="30">
        <f t="shared" si="4"/>
        <v>310</v>
      </c>
      <c r="K35" s="195">
        <v>10</v>
      </c>
      <c r="L35" s="27">
        <f t="shared" si="5"/>
        <v>398.03414853326058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1238912</v>
      </c>
      <c r="E36" s="1">
        <v>1256409</v>
      </c>
      <c r="F36" s="41">
        <f t="shared" si="7"/>
        <v>17.497</v>
      </c>
      <c r="G36" s="22">
        <f t="shared" si="1"/>
        <v>68.842204089422026</v>
      </c>
      <c r="H36" s="45">
        <f t="shared" si="2"/>
        <v>16.085214236641164</v>
      </c>
      <c r="I36" s="42">
        <f t="shared" si="3"/>
        <v>84.92741832606319</v>
      </c>
      <c r="J36" s="30">
        <f t="shared" si="4"/>
        <v>310</v>
      </c>
      <c r="K36" s="195"/>
      <c r="L36" s="27">
        <f t="shared" si="5"/>
        <v>394.92741832606316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1484537</v>
      </c>
      <c r="E37" s="1">
        <v>1497817</v>
      </c>
      <c r="F37" s="41">
        <f t="shared" si="7"/>
        <v>13.280000000000001</v>
      </c>
      <c r="G37" s="22">
        <f t="shared" si="1"/>
        <v>52.250355507088337</v>
      </c>
      <c r="H37" s="45">
        <f t="shared" si="2"/>
        <v>16.085214236641164</v>
      </c>
      <c r="I37" s="42">
        <f t="shared" si="3"/>
        <v>68.335569743729508</v>
      </c>
      <c r="J37" s="30">
        <f t="shared" si="4"/>
        <v>310</v>
      </c>
      <c r="K37" s="195"/>
      <c r="L37" s="27">
        <f t="shared" si="5"/>
        <v>378.33556974372948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3707941</v>
      </c>
      <c r="E38" s="1">
        <v>3728470</v>
      </c>
      <c r="F38" s="41">
        <f t="shared" si="7"/>
        <v>20.529</v>
      </c>
      <c r="G38" s="22">
        <f t="shared" si="1"/>
        <v>80.77165272628136</v>
      </c>
      <c r="H38" s="45">
        <f t="shared" si="2"/>
        <v>16.085214236641164</v>
      </c>
      <c r="I38" s="42">
        <f t="shared" si="3"/>
        <v>96.856866962922524</v>
      </c>
      <c r="J38" s="30">
        <f t="shared" si="4"/>
        <v>310</v>
      </c>
      <c r="K38" s="195"/>
      <c r="L38" s="27">
        <f t="shared" si="5"/>
        <v>406.85686696292254</v>
      </c>
    </row>
    <row r="39" spans="1:12" ht="15" customHeight="1" x14ac:dyDescent="0.45">
      <c r="A39" s="314"/>
      <c r="B39" s="5" t="s">
        <v>4</v>
      </c>
      <c r="C39" s="2">
        <v>501</v>
      </c>
      <c r="D39" s="1">
        <v>4747898</v>
      </c>
      <c r="E39" s="1">
        <v>4807786</v>
      </c>
      <c r="F39" s="41">
        <f t="shared" si="7"/>
        <v>59.887999999999998</v>
      </c>
      <c r="G39" s="22">
        <f t="shared" si="1"/>
        <v>235.63021766630317</v>
      </c>
      <c r="H39" s="45">
        <f t="shared" si="2"/>
        <v>16.085214236641164</v>
      </c>
      <c r="I39" s="42">
        <f t="shared" si="3"/>
        <v>251.71543190294432</v>
      </c>
      <c r="J39" s="30">
        <f t="shared" si="4"/>
        <v>310</v>
      </c>
      <c r="K39" s="195">
        <v>10</v>
      </c>
      <c r="L39" s="27">
        <f t="shared" si="5"/>
        <v>571.71543190294437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6543581</v>
      </c>
      <c r="E40" s="1">
        <v>6560968</v>
      </c>
      <c r="F40" s="41">
        <f t="shared" si="7"/>
        <v>17.387</v>
      </c>
      <c r="G40" s="22">
        <f t="shared" si="1"/>
        <v>68.409407470010905</v>
      </c>
      <c r="H40" s="45">
        <f t="shared" si="2"/>
        <v>16.085214236641164</v>
      </c>
      <c r="I40" s="42">
        <f t="shared" si="3"/>
        <v>84.494621706652069</v>
      </c>
      <c r="J40" s="30">
        <f t="shared" si="4"/>
        <v>310</v>
      </c>
      <c r="K40" s="195"/>
      <c r="L40" s="27">
        <f t="shared" si="5"/>
        <v>394.49462170665208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3617557</v>
      </c>
      <c r="E41" s="1">
        <v>3641386</v>
      </c>
      <c r="F41" s="41">
        <f t="shared" si="7"/>
        <v>23.829000000000001</v>
      </c>
      <c r="G41" s="22">
        <f t="shared" si="1"/>
        <v>93.755551308615054</v>
      </c>
      <c r="H41" s="45">
        <f t="shared" si="2"/>
        <v>16.085214236641164</v>
      </c>
      <c r="I41" s="42">
        <f t="shared" si="3"/>
        <v>109.84076554525622</v>
      </c>
      <c r="J41" s="30">
        <f t="shared" si="4"/>
        <v>310</v>
      </c>
      <c r="K41" s="195"/>
      <c r="L41" s="27">
        <f t="shared" si="5"/>
        <v>419.8407655452562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2926192</v>
      </c>
      <c r="E42" s="1">
        <v>2931864</v>
      </c>
      <c r="F42" s="41">
        <f t="shared" si="7"/>
        <v>5.6719999999999997</v>
      </c>
      <c r="G42" s="22">
        <f t="shared" si="1"/>
        <v>22.316567502726279</v>
      </c>
      <c r="H42" s="45">
        <f t="shared" si="2"/>
        <v>16.085214236641164</v>
      </c>
      <c r="I42" s="42">
        <f t="shared" si="3"/>
        <v>38.401781739367443</v>
      </c>
      <c r="J42" s="30">
        <f t="shared" si="4"/>
        <v>310</v>
      </c>
      <c r="K42" s="195"/>
      <c r="L42" s="27">
        <f t="shared" si="5"/>
        <v>348.40178173936744</v>
      </c>
    </row>
    <row r="43" spans="1:12" ht="15" customHeight="1" x14ac:dyDescent="0.45">
      <c r="A43" s="318"/>
      <c r="B43" s="5" t="s">
        <v>5</v>
      </c>
      <c r="C43" s="2">
        <v>101</v>
      </c>
      <c r="D43" s="1">
        <v>25523</v>
      </c>
      <c r="E43" s="1">
        <v>26128</v>
      </c>
      <c r="F43" s="41">
        <f>(E43-D43)*0.01</f>
        <v>6.05</v>
      </c>
      <c r="G43" s="22">
        <f t="shared" si="1"/>
        <v>23.803814067611778</v>
      </c>
      <c r="H43" s="45">
        <f t="shared" si="2"/>
        <v>16.085214236641164</v>
      </c>
      <c r="I43" s="42">
        <f t="shared" si="3"/>
        <v>39.889028304252946</v>
      </c>
      <c r="J43" s="30">
        <f t="shared" si="4"/>
        <v>310</v>
      </c>
      <c r="K43" s="195"/>
      <c r="L43" s="27">
        <f t="shared" si="5"/>
        <v>349.88902830425297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2817050</v>
      </c>
      <c r="E44" s="1">
        <v>2843814</v>
      </c>
      <c r="F44" s="41">
        <f t="shared" ref="F44:F56" si="8">(E44-D44)*$N$1</f>
        <v>26.763999999999999</v>
      </c>
      <c r="G44" s="22">
        <f t="shared" si="1"/>
        <v>105.3033520174482</v>
      </c>
      <c r="H44" s="45">
        <f t="shared" si="2"/>
        <v>16.085214236641164</v>
      </c>
      <c r="I44" s="42">
        <f t="shared" si="3"/>
        <v>121.38856625408937</v>
      </c>
      <c r="J44" s="30">
        <f t="shared" si="4"/>
        <v>310</v>
      </c>
      <c r="K44" s="195"/>
      <c r="L44" s="27">
        <f t="shared" si="5"/>
        <v>431.38856625408937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980475</v>
      </c>
      <c r="E45" s="1">
        <v>983409</v>
      </c>
      <c r="F45" s="41">
        <f t="shared" si="8"/>
        <v>2.9340000000000002</v>
      </c>
      <c r="G45" s="22">
        <f t="shared" si="1"/>
        <v>11.543866194111233</v>
      </c>
      <c r="H45" s="45">
        <f t="shared" si="2"/>
        <v>16.085214236641164</v>
      </c>
      <c r="I45" s="42">
        <f t="shared" si="3"/>
        <v>27.629080430752396</v>
      </c>
      <c r="J45" s="30">
        <f t="shared" si="4"/>
        <v>310</v>
      </c>
      <c r="K45" s="195"/>
      <c r="L45" s="27">
        <f t="shared" si="5"/>
        <v>337.62908043075242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4133404</v>
      </c>
      <c r="E46" s="1">
        <v>4142548</v>
      </c>
      <c r="F46" s="41">
        <f t="shared" si="8"/>
        <v>9.1440000000000001</v>
      </c>
      <c r="G46" s="22">
        <f t="shared" si="1"/>
        <v>35.977202617230098</v>
      </c>
      <c r="H46" s="45">
        <f t="shared" si="2"/>
        <v>16.085214236641164</v>
      </c>
      <c r="I46" s="42">
        <f t="shared" si="3"/>
        <v>52.062416853871262</v>
      </c>
      <c r="J46" s="30">
        <f t="shared" si="4"/>
        <v>310</v>
      </c>
      <c r="K46" s="195"/>
      <c r="L46" s="27">
        <f t="shared" si="5"/>
        <v>362.06241685387124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3832494</v>
      </c>
      <c r="E47" s="1">
        <v>3869220</v>
      </c>
      <c r="F47" s="41">
        <f t="shared" si="8"/>
        <v>36.725999999999999</v>
      </c>
      <c r="G47" s="22">
        <f t="shared" si="1"/>
        <v>144.49898767720828</v>
      </c>
      <c r="H47" s="45">
        <f t="shared" si="2"/>
        <v>16.085214236641164</v>
      </c>
      <c r="I47" s="42">
        <f t="shared" si="3"/>
        <v>160.58420191384943</v>
      </c>
      <c r="J47" s="30">
        <f t="shared" si="4"/>
        <v>310</v>
      </c>
      <c r="K47" s="195"/>
      <c r="L47" s="27">
        <f t="shared" si="5"/>
        <v>470.58420191384943</v>
      </c>
    </row>
    <row r="48" spans="1:12" ht="15" customHeight="1" x14ac:dyDescent="0.45">
      <c r="A48" s="318"/>
      <c r="B48" s="5" t="s">
        <v>5</v>
      </c>
      <c r="C48" s="2">
        <v>202</v>
      </c>
      <c r="D48" s="1">
        <v>2872334</v>
      </c>
      <c r="E48" s="1">
        <v>2897411</v>
      </c>
      <c r="F48" s="41">
        <f t="shared" si="8"/>
        <v>25.077000000000002</v>
      </c>
      <c r="G48" s="22">
        <f t="shared" si="1"/>
        <v>98.665825681570354</v>
      </c>
      <c r="H48" s="45">
        <f t="shared" si="2"/>
        <v>16.085214236641164</v>
      </c>
      <c r="I48" s="42">
        <f t="shared" si="3"/>
        <v>114.75103991821152</v>
      </c>
      <c r="J48" s="30">
        <f t="shared" si="4"/>
        <v>310</v>
      </c>
      <c r="K48" s="195">
        <v>10</v>
      </c>
      <c r="L48" s="27">
        <f t="shared" si="5"/>
        <v>434.75103991821152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2313778</v>
      </c>
      <c r="E49" s="1">
        <v>2328283</v>
      </c>
      <c r="F49" s="41">
        <f t="shared" si="8"/>
        <v>14.505000000000001</v>
      </c>
      <c r="G49" s="22">
        <f t="shared" si="1"/>
        <v>57.070136041439483</v>
      </c>
      <c r="H49" s="45">
        <f t="shared" si="2"/>
        <v>16.085214236641164</v>
      </c>
      <c r="I49" s="42">
        <f t="shared" si="3"/>
        <v>73.155350278080647</v>
      </c>
      <c r="J49" s="30">
        <f t="shared" si="4"/>
        <v>310</v>
      </c>
      <c r="K49" s="195"/>
      <c r="L49" s="27">
        <f t="shared" si="5"/>
        <v>383.15535027808062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2236138</v>
      </c>
      <c r="E50" s="1">
        <v>2250959</v>
      </c>
      <c r="F50" s="41">
        <f t="shared" si="8"/>
        <v>14.821</v>
      </c>
      <c r="G50" s="22">
        <f t="shared" si="1"/>
        <v>58.313442693565975</v>
      </c>
      <c r="H50" s="45">
        <f t="shared" si="2"/>
        <v>16.085214236641164</v>
      </c>
      <c r="I50" s="42">
        <f t="shared" si="3"/>
        <v>74.398656930207139</v>
      </c>
      <c r="J50" s="30">
        <f t="shared" si="4"/>
        <v>310</v>
      </c>
      <c r="K50" s="195"/>
      <c r="L50" s="27">
        <f t="shared" si="5"/>
        <v>384.39865693020715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2666149</v>
      </c>
      <c r="E51" s="1">
        <v>2675182</v>
      </c>
      <c r="F51" s="41">
        <f t="shared" si="8"/>
        <v>9.0329999999999995</v>
      </c>
      <c r="G51" s="22">
        <f t="shared" si="1"/>
        <v>35.540471483097058</v>
      </c>
      <c r="H51" s="45">
        <f t="shared" si="2"/>
        <v>16.085214236641164</v>
      </c>
      <c r="I51" s="42">
        <f t="shared" si="3"/>
        <v>51.625685719738222</v>
      </c>
      <c r="J51" s="30">
        <f t="shared" si="4"/>
        <v>310</v>
      </c>
      <c r="K51" s="195"/>
      <c r="L51" s="27">
        <f t="shared" si="5"/>
        <v>361.62568571973821</v>
      </c>
    </row>
    <row r="52" spans="1:12" ht="15" customHeight="1" x14ac:dyDescent="0.45">
      <c r="A52" s="318"/>
      <c r="B52" s="5" t="s">
        <v>5</v>
      </c>
      <c r="C52" s="2">
        <v>302</v>
      </c>
      <c r="D52" s="1">
        <v>3999472</v>
      </c>
      <c r="E52" s="1">
        <v>4019909</v>
      </c>
      <c r="F52" s="41">
        <f t="shared" si="8"/>
        <v>20.437000000000001</v>
      </c>
      <c r="G52" s="22">
        <f t="shared" si="1"/>
        <v>80.409677371864788</v>
      </c>
      <c r="H52" s="45">
        <f t="shared" si="2"/>
        <v>16.085214236641164</v>
      </c>
      <c r="I52" s="42">
        <f t="shared" si="3"/>
        <v>96.494891608505952</v>
      </c>
      <c r="J52" s="30">
        <f t="shared" si="4"/>
        <v>310</v>
      </c>
      <c r="K52" s="195">
        <v>10</v>
      </c>
      <c r="L52" s="27">
        <f t="shared" si="5"/>
        <v>416.49489160850595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3638006</v>
      </c>
      <c r="E53" s="1">
        <v>3644933</v>
      </c>
      <c r="F53" s="41">
        <f t="shared" si="8"/>
        <v>6.9270000000000005</v>
      </c>
      <c r="G53" s="22">
        <f t="shared" si="1"/>
        <v>27.254383478735008</v>
      </c>
      <c r="H53" s="45">
        <f t="shared" si="2"/>
        <v>16.085214236641164</v>
      </c>
      <c r="I53" s="42">
        <f t="shared" si="3"/>
        <v>43.339597715376172</v>
      </c>
      <c r="J53" s="30">
        <f t="shared" si="4"/>
        <v>310</v>
      </c>
      <c r="K53" s="195"/>
      <c r="L53" s="27">
        <f t="shared" si="5"/>
        <v>353.33959771537616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2869431</v>
      </c>
      <c r="E54" s="1">
        <v>2878913</v>
      </c>
      <c r="F54" s="41">
        <f t="shared" si="8"/>
        <v>9.4819999999999993</v>
      </c>
      <c r="G54" s="22">
        <f t="shared" si="1"/>
        <v>37.307068593238817</v>
      </c>
      <c r="H54" s="45">
        <f t="shared" si="2"/>
        <v>16.085214236641164</v>
      </c>
      <c r="I54" s="42">
        <f t="shared" si="3"/>
        <v>53.392282829879981</v>
      </c>
      <c r="J54" s="30">
        <f t="shared" si="4"/>
        <v>310</v>
      </c>
      <c r="K54" s="195"/>
      <c r="L54" s="27">
        <f t="shared" si="5"/>
        <v>363.39228282988</v>
      </c>
    </row>
    <row r="55" spans="1:12" ht="15" customHeight="1" x14ac:dyDescent="0.45">
      <c r="A55" s="318"/>
      <c r="B55" s="5" t="s">
        <v>5</v>
      </c>
      <c r="C55" s="2">
        <v>401</v>
      </c>
      <c r="D55" s="1">
        <v>2984379</v>
      </c>
      <c r="E55" s="1">
        <v>3010192</v>
      </c>
      <c r="F55" s="41">
        <f t="shared" si="8"/>
        <v>25.812999999999999</v>
      </c>
      <c r="G55" s="22">
        <f t="shared" si="1"/>
        <v>101.56162851690294</v>
      </c>
      <c r="H55" s="45">
        <f t="shared" si="2"/>
        <v>16.085214236641164</v>
      </c>
      <c r="I55" s="42">
        <f t="shared" si="3"/>
        <v>117.64684275354411</v>
      </c>
      <c r="J55" s="30">
        <f t="shared" si="4"/>
        <v>310</v>
      </c>
      <c r="K55" s="195"/>
      <c r="L55" s="27">
        <f t="shared" si="5"/>
        <v>427.64684275354409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1299432</v>
      </c>
      <c r="E56" s="1">
        <v>1304542</v>
      </c>
      <c r="F56" s="41">
        <f t="shared" si="8"/>
        <v>5.1100000000000003</v>
      </c>
      <c r="G56" s="22">
        <f t="shared" si="1"/>
        <v>20.105370229007637</v>
      </c>
      <c r="H56" s="45">
        <f t="shared" si="2"/>
        <v>16.085214236641164</v>
      </c>
      <c r="I56" s="42">
        <f t="shared" si="3"/>
        <v>36.190584465648797</v>
      </c>
      <c r="J56" s="30">
        <f t="shared" si="4"/>
        <v>310</v>
      </c>
      <c r="K56" s="195"/>
      <c r="L56" s="27">
        <f t="shared" si="5"/>
        <v>346.19058446564878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155975</v>
      </c>
      <c r="E57" s="1">
        <v>158410</v>
      </c>
      <c r="F57" s="41">
        <f>(E57-D57)*0.01</f>
        <v>24.35</v>
      </c>
      <c r="G57" s="22">
        <f t="shared" si="1"/>
        <v>95.805433478735011</v>
      </c>
      <c r="H57" s="45">
        <f t="shared" si="2"/>
        <v>16.085214236641164</v>
      </c>
      <c r="I57" s="42">
        <f t="shared" si="3"/>
        <v>111.89064771537618</v>
      </c>
      <c r="J57" s="30">
        <f t="shared" si="4"/>
        <v>310</v>
      </c>
      <c r="K57" s="195"/>
      <c r="L57" s="27">
        <f t="shared" si="5"/>
        <v>421.89064771537619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1916519</v>
      </c>
      <c r="E58" s="1">
        <v>1927835</v>
      </c>
      <c r="F58" s="41">
        <f t="shared" ref="F58:F87" si="9">(E58-D58)*$N$1</f>
        <v>11.316000000000001</v>
      </c>
      <c r="G58" s="22">
        <f t="shared" si="1"/>
        <v>44.522968593238829</v>
      </c>
      <c r="H58" s="45">
        <f t="shared" si="2"/>
        <v>16.085214236641164</v>
      </c>
      <c r="I58" s="42">
        <f t="shared" si="3"/>
        <v>60.608182829879993</v>
      </c>
      <c r="J58" s="30">
        <f t="shared" si="4"/>
        <v>310</v>
      </c>
      <c r="K58" s="195"/>
      <c r="L58" s="27">
        <f t="shared" si="5"/>
        <v>370.60818282987998</v>
      </c>
    </row>
    <row r="59" spans="1:12" ht="15" customHeight="1" x14ac:dyDescent="0.45">
      <c r="A59" s="318"/>
      <c r="B59" s="5" t="s">
        <v>5</v>
      </c>
      <c r="C59" s="2">
        <v>501</v>
      </c>
      <c r="D59" s="1">
        <v>2753488</v>
      </c>
      <c r="E59" s="1">
        <v>2804707</v>
      </c>
      <c r="F59" s="41">
        <f t="shared" si="9"/>
        <v>51.219000000000001</v>
      </c>
      <c r="G59" s="22">
        <f t="shared" si="1"/>
        <v>201.52190954198474</v>
      </c>
      <c r="H59" s="45">
        <f t="shared" si="2"/>
        <v>16.085214236641164</v>
      </c>
      <c r="I59" s="42">
        <f t="shared" si="3"/>
        <v>217.60712377862592</v>
      </c>
      <c r="J59" s="30">
        <f t="shared" si="4"/>
        <v>310</v>
      </c>
      <c r="K59" s="195"/>
      <c r="L59" s="27">
        <f t="shared" si="5"/>
        <v>527.60712377862592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3418905</v>
      </c>
      <c r="E60" s="1">
        <v>3429419</v>
      </c>
      <c r="F60" s="41">
        <f t="shared" si="9"/>
        <v>10.513999999999999</v>
      </c>
      <c r="G60" s="22">
        <f t="shared" si="1"/>
        <v>41.367487786259538</v>
      </c>
      <c r="H60" s="45">
        <f t="shared" si="2"/>
        <v>16.085214236641164</v>
      </c>
      <c r="I60" s="42">
        <f t="shared" si="3"/>
        <v>57.452702022900702</v>
      </c>
      <c r="J60" s="30">
        <f t="shared" si="4"/>
        <v>310</v>
      </c>
      <c r="K60" s="195"/>
      <c r="L60" s="27">
        <f t="shared" si="5"/>
        <v>367.45270202290072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4337247</v>
      </c>
      <c r="E61" s="1">
        <v>4361048</v>
      </c>
      <c r="F61" s="41">
        <f t="shared" si="9"/>
        <v>23.801000000000002</v>
      </c>
      <c r="G61" s="22">
        <f t="shared" si="1"/>
        <v>93.645384896401325</v>
      </c>
      <c r="H61" s="45">
        <f t="shared" si="2"/>
        <v>16.085214236641164</v>
      </c>
      <c r="I61" s="42">
        <f t="shared" si="3"/>
        <v>109.73059913304249</v>
      </c>
      <c r="J61" s="30">
        <f t="shared" si="4"/>
        <v>310</v>
      </c>
      <c r="K61" s="195"/>
      <c r="L61" s="27">
        <f t="shared" si="5"/>
        <v>419.73059913304246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2045585</v>
      </c>
      <c r="E62" s="1">
        <v>2064770</v>
      </c>
      <c r="F62" s="41">
        <f t="shared" si="9"/>
        <v>19.184999999999999</v>
      </c>
      <c r="G62" s="22">
        <f t="shared" si="1"/>
        <v>75.483664940021811</v>
      </c>
      <c r="H62" s="45">
        <f t="shared" si="2"/>
        <v>16.085214236641164</v>
      </c>
      <c r="I62" s="42">
        <f t="shared" si="3"/>
        <v>91.568879176662975</v>
      </c>
      <c r="J62" s="30">
        <f t="shared" si="4"/>
        <v>310</v>
      </c>
      <c r="K62" s="195"/>
      <c r="L62" s="27">
        <f t="shared" si="5"/>
        <v>401.56887917666296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4778979</v>
      </c>
      <c r="E63" s="1">
        <v>4800797</v>
      </c>
      <c r="F63" s="41">
        <f t="shared" si="9"/>
        <v>21.818000000000001</v>
      </c>
      <c r="G63" s="22">
        <f t="shared" si="1"/>
        <v>85.843242202835341</v>
      </c>
      <c r="H63" s="45">
        <f t="shared" si="2"/>
        <v>16.085214236641164</v>
      </c>
      <c r="I63" s="42">
        <f t="shared" si="3"/>
        <v>101.92845643947651</v>
      </c>
      <c r="J63" s="30">
        <f t="shared" si="4"/>
        <v>310</v>
      </c>
      <c r="K63" s="195"/>
      <c r="L63" s="27">
        <f t="shared" si="5"/>
        <v>411.92845643947652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4646220</v>
      </c>
      <c r="E64" s="1">
        <v>4654416</v>
      </c>
      <c r="F64" s="41">
        <f t="shared" si="9"/>
        <v>8.1959999999999997</v>
      </c>
      <c r="G64" s="22">
        <f t="shared" si="1"/>
        <v>32.247282660850601</v>
      </c>
      <c r="H64" s="45">
        <f t="shared" si="2"/>
        <v>16.085214236641164</v>
      </c>
      <c r="I64" s="42">
        <f t="shared" si="3"/>
        <v>48.332496897491765</v>
      </c>
      <c r="J64" s="30">
        <f t="shared" si="4"/>
        <v>310</v>
      </c>
      <c r="K64" s="195"/>
      <c r="L64" s="27">
        <f t="shared" si="5"/>
        <v>358.33249689749175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3318662</v>
      </c>
      <c r="E65" s="1">
        <v>3336131</v>
      </c>
      <c r="F65" s="41">
        <f t="shared" si="9"/>
        <v>17.469000000000001</v>
      </c>
      <c r="G65" s="22">
        <f t="shared" si="1"/>
        <v>68.732037677208297</v>
      </c>
      <c r="H65" s="45">
        <f t="shared" si="2"/>
        <v>16.085214236641164</v>
      </c>
      <c r="I65" s="42">
        <f t="shared" si="3"/>
        <v>84.817251913849461</v>
      </c>
      <c r="J65" s="30">
        <f t="shared" si="4"/>
        <v>310</v>
      </c>
      <c r="K65" s="195">
        <v>10</v>
      </c>
      <c r="L65" s="27">
        <f>SUM(I65,J65,K65)</f>
        <v>404.81725191384947</v>
      </c>
    </row>
    <row r="66" spans="1:12" ht="15" customHeight="1" x14ac:dyDescent="0.45">
      <c r="A66" s="314"/>
      <c r="B66" s="5" t="s">
        <v>6</v>
      </c>
      <c r="C66" s="2">
        <v>104</v>
      </c>
      <c r="D66" s="1">
        <v>33824</v>
      </c>
      <c r="E66" s="1">
        <v>50928</v>
      </c>
      <c r="F66" s="41">
        <f t="shared" si="9"/>
        <v>17.103999999999999</v>
      </c>
      <c r="G66" s="22">
        <f t="shared" si="1"/>
        <v>67.295939803707739</v>
      </c>
      <c r="H66" s="45">
        <f t="shared" si="2"/>
        <v>16.085214236641164</v>
      </c>
      <c r="I66" s="42">
        <f t="shared" si="3"/>
        <v>83.381154040348903</v>
      </c>
      <c r="J66" s="30">
        <f t="shared" si="4"/>
        <v>310</v>
      </c>
      <c r="K66" s="195"/>
      <c r="L66" s="27">
        <f t="shared" si="5"/>
        <v>393.38115404034892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4032760</v>
      </c>
      <c r="E67" s="1">
        <v>4041940</v>
      </c>
      <c r="F67" s="41">
        <f t="shared" si="9"/>
        <v>9.18</v>
      </c>
      <c r="G67" s="22">
        <f t="shared" si="1"/>
        <v>36.11884514721919</v>
      </c>
      <c r="H67" s="45">
        <f t="shared" si="2"/>
        <v>16.085214236641164</v>
      </c>
      <c r="I67" s="42">
        <f t="shared" si="3"/>
        <v>52.204059383860354</v>
      </c>
      <c r="J67" s="30">
        <f t="shared" si="4"/>
        <v>310</v>
      </c>
      <c r="K67" s="195"/>
      <c r="L67" s="27">
        <f t="shared" si="5"/>
        <v>362.20405938386034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4137697</v>
      </c>
      <c r="E68" s="1">
        <v>4156667</v>
      </c>
      <c r="F68" s="41">
        <f t="shared" si="9"/>
        <v>18.97</v>
      </c>
      <c r="G68" s="22">
        <f t="shared" ref="G68:G131" si="10">MMULT($G$1,1/$F$183)*F68</f>
        <v>74.637744274809151</v>
      </c>
      <c r="H68" s="45">
        <f t="shared" ref="H68:H131" si="11">MMULT($H$1,1/180)</f>
        <v>16.085214236641164</v>
      </c>
      <c r="I68" s="42">
        <f t="shared" ref="I68:I131" si="12">SUM(G68,H68)</f>
        <v>90.722958511450315</v>
      </c>
      <c r="J68" s="30">
        <f t="shared" si="4"/>
        <v>310</v>
      </c>
      <c r="K68" s="195"/>
      <c r="L68" s="27">
        <f t="shared" ref="L68:L131" si="13">SUM(I68,J68,K68)</f>
        <v>400.72295851145032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2482633</v>
      </c>
      <c r="E69" s="1">
        <v>2484310</v>
      </c>
      <c r="F69" s="41">
        <f t="shared" si="9"/>
        <v>1.677</v>
      </c>
      <c r="G69" s="22">
        <f t="shared" si="10"/>
        <v>6.5981811886586703</v>
      </c>
      <c r="H69" s="45">
        <f t="shared" si="11"/>
        <v>16.085214236641164</v>
      </c>
      <c r="I69" s="42">
        <f t="shared" si="12"/>
        <v>22.683395425299835</v>
      </c>
      <c r="J69" s="30">
        <f t="shared" ref="J69:J132" si="14">SUM(J68)</f>
        <v>310</v>
      </c>
      <c r="K69" s="195"/>
      <c r="L69" s="27">
        <f t="shared" si="13"/>
        <v>332.68339542529986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2369983</v>
      </c>
      <c r="E70" s="1">
        <v>2383120</v>
      </c>
      <c r="F70" s="41">
        <f t="shared" si="9"/>
        <v>13.137</v>
      </c>
      <c r="G70" s="22">
        <f t="shared" si="10"/>
        <v>51.687719901853875</v>
      </c>
      <c r="H70" s="45">
        <f t="shared" si="11"/>
        <v>16.085214236641164</v>
      </c>
      <c r="I70" s="42">
        <f t="shared" si="12"/>
        <v>67.772934138495032</v>
      </c>
      <c r="J70" s="30">
        <f t="shared" si="14"/>
        <v>310</v>
      </c>
      <c r="K70" s="195"/>
      <c r="L70" s="27">
        <f t="shared" si="13"/>
        <v>377.77293413849503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3839088</v>
      </c>
      <c r="E71" s="1">
        <v>3853485</v>
      </c>
      <c r="F71" s="41">
        <f t="shared" si="9"/>
        <v>14.397</v>
      </c>
      <c r="G71" s="22">
        <f t="shared" si="10"/>
        <v>56.645208451472193</v>
      </c>
      <c r="H71" s="45">
        <f t="shared" si="11"/>
        <v>16.085214236641164</v>
      </c>
      <c r="I71" s="42">
        <f t="shared" si="12"/>
        <v>72.73042268811335</v>
      </c>
      <c r="J71" s="30">
        <f t="shared" si="14"/>
        <v>310</v>
      </c>
      <c r="K71" s="195"/>
      <c r="L71" s="27">
        <f t="shared" si="13"/>
        <v>382.73042268811332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3047654</v>
      </c>
      <c r="E72" s="1">
        <v>3066435</v>
      </c>
      <c r="F72" s="41">
        <f t="shared" si="9"/>
        <v>18.780999999999999</v>
      </c>
      <c r="G72" s="22">
        <f t="shared" si="10"/>
        <v>73.89412099236641</v>
      </c>
      <c r="H72" s="45">
        <f t="shared" si="11"/>
        <v>16.085214236641164</v>
      </c>
      <c r="I72" s="42">
        <f t="shared" si="12"/>
        <v>89.979335229007575</v>
      </c>
      <c r="J72" s="30">
        <f t="shared" si="14"/>
        <v>310</v>
      </c>
      <c r="K72" s="195"/>
      <c r="L72" s="27">
        <f t="shared" si="13"/>
        <v>399.97933522900757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3445588</v>
      </c>
      <c r="E73" s="1">
        <v>3456160</v>
      </c>
      <c r="F73" s="41">
        <f t="shared" si="9"/>
        <v>10.572000000000001</v>
      </c>
      <c r="G73" s="22">
        <f t="shared" si="10"/>
        <v>41.595689640130864</v>
      </c>
      <c r="H73" s="45">
        <f t="shared" si="11"/>
        <v>16.085214236641164</v>
      </c>
      <c r="I73" s="42">
        <f t="shared" si="12"/>
        <v>57.680903876772028</v>
      </c>
      <c r="J73" s="30">
        <f t="shared" si="14"/>
        <v>310</v>
      </c>
      <c r="K73" s="195"/>
      <c r="L73" s="27">
        <f t="shared" si="13"/>
        <v>367.68090387677205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1439259</v>
      </c>
      <c r="E74" s="1">
        <v>1447310</v>
      </c>
      <c r="F74" s="41">
        <f t="shared" si="9"/>
        <v>8.0510000000000002</v>
      </c>
      <c r="G74" s="22">
        <f t="shared" si="10"/>
        <v>31.676778026172304</v>
      </c>
      <c r="H74" s="45">
        <f t="shared" si="11"/>
        <v>16.085214236641164</v>
      </c>
      <c r="I74" s="42">
        <f t="shared" si="12"/>
        <v>47.761992262813465</v>
      </c>
      <c r="J74" s="30">
        <f t="shared" si="14"/>
        <v>310</v>
      </c>
      <c r="K74" s="195"/>
      <c r="L74" s="27">
        <f t="shared" si="13"/>
        <v>357.76199226281346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4675686</v>
      </c>
      <c r="E75" s="1">
        <v>4697115</v>
      </c>
      <c r="F75" s="41">
        <f t="shared" si="9"/>
        <v>21.429000000000002</v>
      </c>
      <c r="G75" s="22">
        <f t="shared" si="10"/>
        <v>84.312715976008732</v>
      </c>
      <c r="H75" s="45">
        <f t="shared" si="11"/>
        <v>16.085214236641164</v>
      </c>
      <c r="I75" s="42">
        <f t="shared" si="12"/>
        <v>100.3979302126499</v>
      </c>
      <c r="J75" s="30">
        <f t="shared" si="14"/>
        <v>310</v>
      </c>
      <c r="K75" s="195"/>
      <c r="L75" s="27">
        <f t="shared" si="13"/>
        <v>410.3979302126499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2800719</v>
      </c>
      <c r="E76" s="1">
        <v>2838998</v>
      </c>
      <c r="F76" s="41">
        <f t="shared" si="9"/>
        <v>38.279000000000003</v>
      </c>
      <c r="G76" s="22">
        <f t="shared" si="10"/>
        <v>150.60928904034898</v>
      </c>
      <c r="H76" s="45">
        <f t="shared" si="11"/>
        <v>16.085214236641164</v>
      </c>
      <c r="I76" s="42">
        <f t="shared" si="12"/>
        <v>166.69450327699013</v>
      </c>
      <c r="J76" s="30">
        <f t="shared" si="14"/>
        <v>310</v>
      </c>
      <c r="K76" s="195"/>
      <c r="L76" s="27">
        <f t="shared" si="13"/>
        <v>476.69450327699013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2594340</v>
      </c>
      <c r="E77" s="1">
        <v>2621815</v>
      </c>
      <c r="F77" s="41">
        <f t="shared" si="9"/>
        <v>27.475000000000001</v>
      </c>
      <c r="G77" s="22">
        <f t="shared" si="10"/>
        <v>108.10079198473284</v>
      </c>
      <c r="H77" s="45">
        <f t="shared" si="11"/>
        <v>16.085214236641164</v>
      </c>
      <c r="I77" s="42">
        <f t="shared" si="12"/>
        <v>124.186006221374</v>
      </c>
      <c r="J77" s="30">
        <f t="shared" si="14"/>
        <v>310</v>
      </c>
      <c r="K77" s="195"/>
      <c r="L77" s="27">
        <f t="shared" si="13"/>
        <v>434.18600622137399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2716414</v>
      </c>
      <c r="E78" s="1">
        <v>2724206</v>
      </c>
      <c r="F78" s="41">
        <f t="shared" si="9"/>
        <v>7.7919999999999998</v>
      </c>
      <c r="G78" s="22">
        <f t="shared" si="10"/>
        <v>30.657738713195201</v>
      </c>
      <c r="H78" s="45">
        <f t="shared" si="11"/>
        <v>16.085214236641164</v>
      </c>
      <c r="I78" s="42">
        <f t="shared" si="12"/>
        <v>46.742952949836365</v>
      </c>
      <c r="J78" s="30">
        <f t="shared" si="14"/>
        <v>310</v>
      </c>
      <c r="K78" s="195"/>
      <c r="L78" s="27">
        <f t="shared" si="13"/>
        <v>356.74295294983636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4579056</v>
      </c>
      <c r="E79" s="1">
        <v>4610700</v>
      </c>
      <c r="F79" s="41">
        <f t="shared" si="9"/>
        <v>31.644000000000002</v>
      </c>
      <c r="G79" s="22">
        <f t="shared" si="10"/>
        <v>124.5037838604144</v>
      </c>
      <c r="H79" s="45">
        <f t="shared" si="11"/>
        <v>16.085214236641164</v>
      </c>
      <c r="I79" s="42">
        <f t="shared" si="12"/>
        <v>140.58899809705557</v>
      </c>
      <c r="J79" s="30">
        <f t="shared" si="14"/>
        <v>310</v>
      </c>
      <c r="K79" s="195"/>
      <c r="L79" s="27">
        <f t="shared" si="13"/>
        <v>450.58899809705554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4847540</v>
      </c>
      <c r="E80" s="1">
        <v>4864308</v>
      </c>
      <c r="F80" s="41">
        <f t="shared" si="9"/>
        <v>16.768000000000001</v>
      </c>
      <c r="G80" s="22">
        <f t="shared" si="10"/>
        <v>65.973942857142859</v>
      </c>
      <c r="H80" s="45">
        <f t="shared" si="11"/>
        <v>16.085214236641164</v>
      </c>
      <c r="I80" s="42">
        <f t="shared" si="12"/>
        <v>82.059157093784023</v>
      </c>
      <c r="J80" s="30">
        <f t="shared" si="14"/>
        <v>310</v>
      </c>
      <c r="K80" s="195"/>
      <c r="L80" s="27">
        <f t="shared" si="13"/>
        <v>392.05915709378405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3104836</v>
      </c>
      <c r="E81" s="1">
        <v>3108841</v>
      </c>
      <c r="F81" s="41">
        <f t="shared" si="9"/>
        <v>4.0049999999999999</v>
      </c>
      <c r="G81" s="22">
        <f t="shared" si="10"/>
        <v>15.757731461286804</v>
      </c>
      <c r="H81" s="45">
        <f t="shared" si="11"/>
        <v>16.085214236641164</v>
      </c>
      <c r="I81" s="42">
        <f t="shared" si="12"/>
        <v>31.842945697927966</v>
      </c>
      <c r="J81" s="30">
        <f t="shared" si="14"/>
        <v>310</v>
      </c>
      <c r="K81" s="195">
        <v>10</v>
      </c>
      <c r="L81" s="27">
        <f t="shared" si="13"/>
        <v>351.84294569792797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3382686</v>
      </c>
      <c r="E82" s="1">
        <v>3409173</v>
      </c>
      <c r="F82" s="41">
        <f t="shared" si="9"/>
        <v>26.487000000000002</v>
      </c>
      <c r="G82" s="22">
        <f t="shared" si="10"/>
        <v>104.21349143947657</v>
      </c>
      <c r="H82" s="45">
        <f t="shared" si="11"/>
        <v>16.085214236641164</v>
      </c>
      <c r="I82" s="42">
        <f t="shared" si="12"/>
        <v>120.29870567611773</v>
      </c>
      <c r="J82" s="30">
        <f t="shared" si="14"/>
        <v>310</v>
      </c>
      <c r="K82" s="195"/>
      <c r="L82" s="27">
        <f t="shared" si="13"/>
        <v>430.29870567611772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4660394</v>
      </c>
      <c r="E83" s="1">
        <v>4688872</v>
      </c>
      <c r="F83" s="41">
        <f t="shared" si="9"/>
        <v>28.478000000000002</v>
      </c>
      <c r="G83" s="22">
        <f t="shared" si="10"/>
        <v>112.04711025081789</v>
      </c>
      <c r="H83" s="45">
        <f t="shared" si="11"/>
        <v>16.085214236641164</v>
      </c>
      <c r="I83" s="42">
        <f t="shared" si="12"/>
        <v>128.13232448745907</v>
      </c>
      <c r="J83" s="30">
        <f t="shared" si="14"/>
        <v>310</v>
      </c>
      <c r="K83" s="195"/>
      <c r="L83" s="27">
        <f t="shared" si="13"/>
        <v>438.13232448745907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1767874</v>
      </c>
      <c r="E84" s="1">
        <v>1787161</v>
      </c>
      <c r="F84" s="41">
        <f t="shared" si="9"/>
        <v>19.286999999999999</v>
      </c>
      <c r="G84" s="22">
        <f t="shared" si="10"/>
        <v>75.884985441657577</v>
      </c>
      <c r="H84" s="45">
        <f t="shared" si="11"/>
        <v>16.085214236641164</v>
      </c>
      <c r="I84" s="42">
        <f t="shared" si="12"/>
        <v>91.970199678298741</v>
      </c>
      <c r="J84" s="30">
        <f t="shared" si="14"/>
        <v>310</v>
      </c>
      <c r="K84" s="195"/>
      <c r="L84" s="27">
        <f t="shared" si="13"/>
        <v>401.97019967829874</v>
      </c>
    </row>
    <row r="85" spans="1:12" ht="15" customHeight="1" x14ac:dyDescent="0.45">
      <c r="A85" s="318"/>
      <c r="B85" s="5" t="s">
        <v>7</v>
      </c>
      <c r="C85" s="2">
        <v>103</v>
      </c>
      <c r="D85" s="1">
        <v>2996539</v>
      </c>
      <c r="E85" s="1">
        <v>2999728</v>
      </c>
      <c r="F85" s="41">
        <f t="shared" si="9"/>
        <v>3.1890000000000001</v>
      </c>
      <c r="G85" s="22">
        <f t="shared" si="10"/>
        <v>12.547167448200655</v>
      </c>
      <c r="H85" s="45">
        <f t="shared" si="11"/>
        <v>16.085214236641164</v>
      </c>
      <c r="I85" s="42">
        <f t="shared" si="12"/>
        <v>28.632381684841818</v>
      </c>
      <c r="J85" s="30">
        <f t="shared" si="14"/>
        <v>310</v>
      </c>
      <c r="K85" s="195"/>
      <c r="L85" s="27">
        <f t="shared" si="13"/>
        <v>338.63238168484179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2556673</v>
      </c>
      <c r="E86" s="1">
        <v>2571307</v>
      </c>
      <c r="F86" s="41">
        <f t="shared" si="9"/>
        <v>14.634</v>
      </c>
      <c r="G86" s="22">
        <f t="shared" si="10"/>
        <v>57.577688440567073</v>
      </c>
      <c r="H86" s="45">
        <f t="shared" si="11"/>
        <v>16.085214236641164</v>
      </c>
      <c r="I86" s="42">
        <f t="shared" si="12"/>
        <v>73.662902677208237</v>
      </c>
      <c r="J86" s="30">
        <f t="shared" si="14"/>
        <v>310</v>
      </c>
      <c r="K86" s="195"/>
      <c r="L86" s="27">
        <f t="shared" si="13"/>
        <v>383.66290267720825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5086747</v>
      </c>
      <c r="E87" s="1">
        <v>5106207</v>
      </c>
      <c r="F87" s="41">
        <f t="shared" si="9"/>
        <v>19.46</v>
      </c>
      <c r="G87" s="22">
        <f t="shared" si="10"/>
        <v>76.565656488549621</v>
      </c>
      <c r="H87" s="45">
        <f t="shared" si="11"/>
        <v>16.085214236641164</v>
      </c>
      <c r="I87" s="42">
        <f t="shared" si="12"/>
        <v>92.650870725190785</v>
      </c>
      <c r="J87" s="30">
        <f t="shared" si="14"/>
        <v>310</v>
      </c>
      <c r="K87" s="195"/>
      <c r="L87" s="27">
        <f t="shared" si="13"/>
        <v>402.65087072519077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27444</v>
      </c>
      <c r="E88" s="1">
        <v>27444</v>
      </c>
      <c r="F88" s="41">
        <f>(E88-D88)*0.01</f>
        <v>0</v>
      </c>
      <c r="G88" s="22">
        <f t="shared" si="10"/>
        <v>0</v>
      </c>
      <c r="H88" s="45">
        <f t="shared" si="11"/>
        <v>16.085214236641164</v>
      </c>
      <c r="I88" s="42">
        <f t="shared" si="12"/>
        <v>16.085214236641164</v>
      </c>
      <c r="J88" s="30">
        <f t="shared" si="14"/>
        <v>310</v>
      </c>
      <c r="K88" s="195"/>
      <c r="L88" s="27">
        <f t="shared" si="13"/>
        <v>326.08521423664115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4371490</v>
      </c>
      <c r="E89" s="1">
        <v>4405247</v>
      </c>
      <c r="F89" s="41">
        <f>(E89-D89)*$N$1</f>
        <v>33.756999999999998</v>
      </c>
      <c r="G89" s="22">
        <f t="shared" si="10"/>
        <v>132.81741346782988</v>
      </c>
      <c r="H89" s="45">
        <f t="shared" si="11"/>
        <v>16.085214236641164</v>
      </c>
      <c r="I89" s="42">
        <f t="shared" si="12"/>
        <v>148.90262770447106</v>
      </c>
      <c r="J89" s="30">
        <f t="shared" si="14"/>
        <v>310</v>
      </c>
      <c r="K89" s="195"/>
      <c r="L89" s="27">
        <f t="shared" si="13"/>
        <v>458.90262770447106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133025</v>
      </c>
      <c r="E90" s="1">
        <v>133043</v>
      </c>
      <c r="F90" s="41">
        <f>(E90-D90)*0.01</f>
        <v>0.18</v>
      </c>
      <c r="G90" s="22">
        <f t="shared" si="10"/>
        <v>0.70821264994547439</v>
      </c>
      <c r="H90" s="45">
        <f t="shared" si="11"/>
        <v>16.085214236641164</v>
      </c>
      <c r="I90" s="42">
        <f t="shared" si="12"/>
        <v>16.793426886586637</v>
      </c>
      <c r="J90" s="30">
        <f t="shared" si="14"/>
        <v>310</v>
      </c>
      <c r="K90" s="195"/>
      <c r="L90" s="27">
        <f t="shared" si="13"/>
        <v>326.79342688658664</v>
      </c>
    </row>
    <row r="91" spans="1:12" ht="15" customHeight="1" x14ac:dyDescent="0.45">
      <c r="A91" s="318"/>
      <c r="B91" s="5" t="s">
        <v>7</v>
      </c>
      <c r="C91" s="2">
        <v>301</v>
      </c>
      <c r="D91" s="1">
        <v>4937918</v>
      </c>
      <c r="E91" s="1">
        <v>4962086</v>
      </c>
      <c r="F91" s="41">
        <f t="shared" ref="F91:F103" si="15">(E91-D91)*$N$1</f>
        <v>24.167999999999999</v>
      </c>
      <c r="G91" s="22">
        <f t="shared" si="10"/>
        <v>95.089351799345692</v>
      </c>
      <c r="H91" s="45">
        <f t="shared" si="11"/>
        <v>16.085214236641164</v>
      </c>
      <c r="I91" s="42">
        <f t="shared" si="12"/>
        <v>111.17456603598686</v>
      </c>
      <c r="J91" s="30">
        <f t="shared" si="14"/>
        <v>310</v>
      </c>
      <c r="K91" s="195">
        <v>10</v>
      </c>
      <c r="L91" s="27">
        <f t="shared" si="13"/>
        <v>431.17456603598686</v>
      </c>
    </row>
    <row r="92" spans="1:12" ht="15" customHeight="1" x14ac:dyDescent="0.45">
      <c r="A92" s="318"/>
      <c r="B92" s="5" t="s">
        <v>7</v>
      </c>
      <c r="C92" s="2">
        <v>302</v>
      </c>
      <c r="D92" s="1">
        <v>3353199</v>
      </c>
      <c r="E92" s="1">
        <v>3382206</v>
      </c>
      <c r="F92" s="41">
        <f t="shared" si="15"/>
        <v>29.007000000000001</v>
      </c>
      <c r="G92" s="22">
        <f t="shared" si="10"/>
        <v>114.12846853871321</v>
      </c>
      <c r="H92" s="45">
        <f t="shared" si="11"/>
        <v>16.085214236641164</v>
      </c>
      <c r="I92" s="42">
        <f t="shared" si="12"/>
        <v>130.21368277535436</v>
      </c>
      <c r="J92" s="30">
        <f t="shared" si="14"/>
        <v>310</v>
      </c>
      <c r="K92" s="195"/>
      <c r="L92" s="27">
        <f t="shared" si="13"/>
        <v>440.21368277535436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4600967</v>
      </c>
      <c r="E93" s="1">
        <v>4647440</v>
      </c>
      <c r="F93" s="41">
        <f t="shared" si="15"/>
        <v>46.472999999999999</v>
      </c>
      <c r="G93" s="22">
        <f t="shared" si="10"/>
        <v>182.84870267175572</v>
      </c>
      <c r="H93" s="45">
        <f t="shared" si="11"/>
        <v>16.085214236641164</v>
      </c>
      <c r="I93" s="42">
        <f t="shared" si="12"/>
        <v>198.9339169083969</v>
      </c>
      <c r="J93" s="30">
        <f t="shared" si="14"/>
        <v>310</v>
      </c>
      <c r="K93" s="195">
        <v>10</v>
      </c>
      <c r="L93" s="27">
        <f t="shared" si="13"/>
        <v>518.9339169083969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2427633</v>
      </c>
      <c r="E94" s="1">
        <v>2439379</v>
      </c>
      <c r="F94" s="41">
        <f t="shared" si="15"/>
        <v>11.746</v>
      </c>
      <c r="G94" s="22">
        <f t="shared" si="10"/>
        <v>46.214809923664127</v>
      </c>
      <c r="H94" s="45">
        <f t="shared" si="11"/>
        <v>16.085214236641164</v>
      </c>
      <c r="I94" s="42">
        <f t="shared" si="12"/>
        <v>62.300024160305291</v>
      </c>
      <c r="J94" s="30">
        <f t="shared" si="14"/>
        <v>310</v>
      </c>
      <c r="K94" s="195"/>
      <c r="L94" s="27">
        <f t="shared" si="13"/>
        <v>372.30002416030527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3751696</v>
      </c>
      <c r="E95" s="1">
        <v>3760306</v>
      </c>
      <c r="F95" s="41">
        <f t="shared" si="15"/>
        <v>8.61</v>
      </c>
      <c r="G95" s="22">
        <f t="shared" si="10"/>
        <v>33.876171755725188</v>
      </c>
      <c r="H95" s="45">
        <f t="shared" si="11"/>
        <v>16.085214236641164</v>
      </c>
      <c r="I95" s="42">
        <f t="shared" si="12"/>
        <v>49.961385992366353</v>
      </c>
      <c r="J95" s="30">
        <f t="shared" si="14"/>
        <v>310</v>
      </c>
      <c r="K95" s="195"/>
      <c r="L95" s="27">
        <f t="shared" si="13"/>
        <v>359.96138599236633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3232262</v>
      </c>
      <c r="E96" s="1">
        <v>3248173</v>
      </c>
      <c r="F96" s="41">
        <f t="shared" si="15"/>
        <v>15.911</v>
      </c>
      <c r="G96" s="22">
        <f t="shared" si="10"/>
        <v>62.602063740458014</v>
      </c>
      <c r="H96" s="45">
        <f t="shared" si="11"/>
        <v>16.085214236641164</v>
      </c>
      <c r="I96" s="42">
        <f t="shared" si="12"/>
        <v>78.687277977099171</v>
      </c>
      <c r="J96" s="30">
        <f t="shared" si="14"/>
        <v>310</v>
      </c>
      <c r="K96" s="195"/>
      <c r="L96" s="27">
        <f t="shared" si="13"/>
        <v>388.68727797709914</v>
      </c>
    </row>
    <row r="97" spans="1:12" ht="15" customHeight="1" x14ac:dyDescent="0.45">
      <c r="A97" s="318"/>
      <c r="B97" s="5" t="s">
        <v>7</v>
      </c>
      <c r="C97" s="2">
        <v>403</v>
      </c>
      <c r="D97" s="1">
        <v>2972199</v>
      </c>
      <c r="E97" s="1">
        <v>2977686</v>
      </c>
      <c r="F97" s="41">
        <f t="shared" si="15"/>
        <v>5.4870000000000001</v>
      </c>
      <c r="G97" s="22">
        <f t="shared" si="10"/>
        <v>21.588682279171213</v>
      </c>
      <c r="H97" s="45">
        <f t="shared" si="11"/>
        <v>16.085214236641164</v>
      </c>
      <c r="I97" s="42">
        <f t="shared" si="12"/>
        <v>37.673896515812373</v>
      </c>
      <c r="J97" s="30">
        <f t="shared" si="14"/>
        <v>310</v>
      </c>
      <c r="K97" s="195"/>
      <c r="L97" s="27">
        <f t="shared" si="13"/>
        <v>347.67389651581237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3119133</v>
      </c>
      <c r="E98" s="1">
        <v>3134647</v>
      </c>
      <c r="F98" s="41">
        <f t="shared" si="15"/>
        <v>15.514000000000001</v>
      </c>
      <c r="G98" s="22">
        <f t="shared" si="10"/>
        <v>61.040061395856057</v>
      </c>
      <c r="H98" s="45">
        <f t="shared" si="11"/>
        <v>16.085214236641164</v>
      </c>
      <c r="I98" s="42">
        <f t="shared" si="12"/>
        <v>77.125275632497221</v>
      </c>
      <c r="J98" s="30">
        <f t="shared" si="14"/>
        <v>310</v>
      </c>
      <c r="K98" s="195"/>
      <c r="L98" s="27">
        <f t="shared" si="13"/>
        <v>387.12527563249722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2714695</v>
      </c>
      <c r="E99" s="1">
        <v>2727398</v>
      </c>
      <c r="F99" s="41">
        <f t="shared" si="15"/>
        <v>12.702999999999999</v>
      </c>
      <c r="G99" s="22">
        <f t="shared" si="10"/>
        <v>49.980140512540892</v>
      </c>
      <c r="H99" s="45">
        <f t="shared" si="11"/>
        <v>16.085214236641164</v>
      </c>
      <c r="I99" s="42">
        <f t="shared" si="12"/>
        <v>66.065354749182063</v>
      </c>
      <c r="J99" s="30">
        <f t="shared" si="14"/>
        <v>310</v>
      </c>
      <c r="K99" s="195"/>
      <c r="L99" s="27">
        <f t="shared" si="13"/>
        <v>376.06535474918206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2492754</v>
      </c>
      <c r="E100" s="1">
        <v>2501346</v>
      </c>
      <c r="F100" s="41">
        <f t="shared" si="15"/>
        <v>8.5920000000000005</v>
      </c>
      <c r="G100" s="22">
        <f t="shared" si="10"/>
        <v>33.805350490730646</v>
      </c>
      <c r="H100" s="45">
        <f t="shared" si="11"/>
        <v>16.085214236641164</v>
      </c>
      <c r="I100" s="42">
        <f t="shared" si="12"/>
        <v>49.89056472737181</v>
      </c>
      <c r="J100" s="30">
        <f t="shared" si="14"/>
        <v>310</v>
      </c>
      <c r="K100" s="195"/>
      <c r="L100" s="27">
        <f t="shared" si="13"/>
        <v>359.89056472737184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3060846</v>
      </c>
      <c r="E101" s="1">
        <v>3079176</v>
      </c>
      <c r="F101" s="41">
        <f t="shared" si="15"/>
        <v>18.330000000000002</v>
      </c>
      <c r="G101" s="22">
        <f t="shared" si="10"/>
        <v>72.119654852780812</v>
      </c>
      <c r="H101" s="45">
        <f t="shared" si="11"/>
        <v>16.085214236641164</v>
      </c>
      <c r="I101" s="42">
        <f t="shared" si="12"/>
        <v>88.204869089421976</v>
      </c>
      <c r="J101" s="30">
        <f t="shared" si="14"/>
        <v>310</v>
      </c>
      <c r="K101" s="195"/>
      <c r="L101" s="27">
        <f t="shared" si="13"/>
        <v>398.204869089422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4033462</v>
      </c>
      <c r="E102" s="1">
        <v>4057794</v>
      </c>
      <c r="F102" s="41">
        <f t="shared" si="15"/>
        <v>24.332000000000001</v>
      </c>
      <c r="G102" s="22">
        <f t="shared" si="10"/>
        <v>95.734612213740462</v>
      </c>
      <c r="H102" s="45">
        <f t="shared" si="11"/>
        <v>16.085214236641164</v>
      </c>
      <c r="I102" s="42">
        <f t="shared" si="12"/>
        <v>111.81982645038163</v>
      </c>
      <c r="J102" s="30">
        <f t="shared" si="14"/>
        <v>310</v>
      </c>
      <c r="K102" s="195"/>
      <c r="L102" s="27">
        <f t="shared" si="13"/>
        <v>421.81982645038164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3672246</v>
      </c>
      <c r="E103" s="1">
        <v>3699361</v>
      </c>
      <c r="F103" s="41">
        <f t="shared" si="15"/>
        <v>27.115000000000002</v>
      </c>
      <c r="G103" s="22">
        <f t="shared" si="10"/>
        <v>106.68436668484189</v>
      </c>
      <c r="H103" s="45">
        <f t="shared" si="11"/>
        <v>16.085214236641164</v>
      </c>
      <c r="I103" s="42">
        <f t="shared" si="12"/>
        <v>122.76958092148305</v>
      </c>
      <c r="J103" s="30">
        <f t="shared" si="14"/>
        <v>310</v>
      </c>
      <c r="K103" s="195"/>
      <c r="L103" s="27">
        <f t="shared" si="13"/>
        <v>432.76958092148305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144312</v>
      </c>
      <c r="E104" s="1">
        <v>146576</v>
      </c>
      <c r="F104" s="41">
        <f>(E104-D104)*0.01</f>
        <v>22.64</v>
      </c>
      <c r="G104" s="22">
        <f t="shared" si="10"/>
        <v>89.077413304253</v>
      </c>
      <c r="H104" s="45">
        <f t="shared" si="11"/>
        <v>16.085214236641164</v>
      </c>
      <c r="I104" s="42">
        <f t="shared" si="12"/>
        <v>105.16262754089416</v>
      </c>
      <c r="J104" s="30">
        <f t="shared" si="14"/>
        <v>310</v>
      </c>
      <c r="K104" s="195"/>
      <c r="L104" s="27">
        <f t="shared" si="13"/>
        <v>415.16262754089416</v>
      </c>
    </row>
    <row r="105" spans="1:12" ht="15" customHeight="1" x14ac:dyDescent="0.45">
      <c r="A105" s="314"/>
      <c r="B105" s="5" t="s">
        <v>8</v>
      </c>
      <c r="C105" s="2">
        <v>103</v>
      </c>
      <c r="D105" s="1">
        <v>23631</v>
      </c>
      <c r="E105" s="1">
        <v>26932</v>
      </c>
      <c r="F105" s="41">
        <f t="shared" ref="F105:F123" si="16">(E105-D105)*$N$1</f>
        <v>3.3010000000000002</v>
      </c>
      <c r="G105" s="22">
        <f t="shared" si="10"/>
        <v>12.987833097055617</v>
      </c>
      <c r="H105" s="45">
        <f t="shared" si="11"/>
        <v>16.085214236641164</v>
      </c>
      <c r="I105" s="42">
        <f t="shared" si="12"/>
        <v>29.073047333696781</v>
      </c>
      <c r="J105" s="30">
        <f t="shared" si="14"/>
        <v>310</v>
      </c>
      <c r="K105" s="195">
        <v>10</v>
      </c>
      <c r="L105" s="27">
        <f t="shared" si="13"/>
        <v>349.07304733369676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438861</v>
      </c>
      <c r="E106" s="1">
        <v>441352</v>
      </c>
      <c r="F106" s="41">
        <f t="shared" si="16"/>
        <v>2.4910000000000001</v>
      </c>
      <c r="G106" s="22">
        <f t="shared" si="10"/>
        <v>9.800876172300983</v>
      </c>
      <c r="H106" s="45">
        <f t="shared" si="11"/>
        <v>16.085214236641164</v>
      </c>
      <c r="I106" s="42">
        <f t="shared" si="12"/>
        <v>25.886090408942145</v>
      </c>
      <c r="J106" s="30">
        <f t="shared" si="14"/>
        <v>310</v>
      </c>
      <c r="K106" s="195"/>
      <c r="L106" s="27">
        <f t="shared" si="13"/>
        <v>335.88609040894215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12000</v>
      </c>
      <c r="E107" s="1">
        <v>20000</v>
      </c>
      <c r="F107" s="41">
        <f t="shared" si="16"/>
        <v>8</v>
      </c>
      <c r="G107" s="22">
        <f t="shared" si="10"/>
        <v>31.476117775354417</v>
      </c>
      <c r="H107" s="45">
        <f t="shared" si="11"/>
        <v>16.085214236641164</v>
      </c>
      <c r="I107" s="42">
        <f t="shared" si="12"/>
        <v>47.561332011995582</v>
      </c>
      <c r="J107" s="30">
        <f t="shared" si="14"/>
        <v>310</v>
      </c>
      <c r="K107" s="195"/>
      <c r="L107" s="27">
        <f t="shared" si="13"/>
        <v>357.5613320119956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44452</v>
      </c>
      <c r="E108" s="1">
        <v>66160</v>
      </c>
      <c r="F108" s="41">
        <f t="shared" si="16"/>
        <v>21.708000000000002</v>
      </c>
      <c r="G108" s="22">
        <f t="shared" si="10"/>
        <v>85.41044558342422</v>
      </c>
      <c r="H108" s="45">
        <f t="shared" si="11"/>
        <v>16.085214236641164</v>
      </c>
      <c r="I108" s="42">
        <f t="shared" si="12"/>
        <v>101.49565982006538</v>
      </c>
      <c r="J108" s="30">
        <f t="shared" si="14"/>
        <v>310</v>
      </c>
      <c r="K108" s="195"/>
      <c r="L108" s="27">
        <f t="shared" si="13"/>
        <v>411.49565982006538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3544058</v>
      </c>
      <c r="E109" s="1">
        <v>3554027</v>
      </c>
      <c r="F109" s="41">
        <f t="shared" si="16"/>
        <v>9.9689999999999994</v>
      </c>
      <c r="G109" s="22">
        <f t="shared" si="10"/>
        <v>39.223177262813522</v>
      </c>
      <c r="H109" s="45">
        <f t="shared" si="11"/>
        <v>16.085214236641164</v>
      </c>
      <c r="I109" s="42">
        <f t="shared" si="12"/>
        <v>55.308391499454686</v>
      </c>
      <c r="J109" s="30">
        <f t="shared" si="14"/>
        <v>310</v>
      </c>
      <c r="K109" s="195"/>
      <c r="L109" s="27">
        <f t="shared" si="13"/>
        <v>365.30839149945467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1858942</v>
      </c>
      <c r="E110" s="1">
        <v>1879700</v>
      </c>
      <c r="F110" s="41">
        <f t="shared" si="16"/>
        <v>20.757999999999999</v>
      </c>
      <c r="G110" s="22">
        <f t="shared" si="10"/>
        <v>81.672656597600877</v>
      </c>
      <c r="H110" s="45">
        <f t="shared" si="11"/>
        <v>16.085214236641164</v>
      </c>
      <c r="I110" s="42">
        <f t="shared" si="12"/>
        <v>97.757870834242041</v>
      </c>
      <c r="J110" s="30">
        <f t="shared" si="14"/>
        <v>310</v>
      </c>
      <c r="K110" s="195"/>
      <c r="L110" s="27">
        <f t="shared" si="13"/>
        <v>407.75787083424206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3599911</v>
      </c>
      <c r="E111" s="1">
        <v>3610591</v>
      </c>
      <c r="F111" s="41">
        <f t="shared" si="16"/>
        <v>10.68</v>
      </c>
      <c r="G111" s="22">
        <f t="shared" si="10"/>
        <v>42.020617230098146</v>
      </c>
      <c r="H111" s="45">
        <f t="shared" si="11"/>
        <v>16.085214236641164</v>
      </c>
      <c r="I111" s="42">
        <f t="shared" si="12"/>
        <v>58.105831466739311</v>
      </c>
      <c r="J111" s="30">
        <f t="shared" si="14"/>
        <v>310</v>
      </c>
      <c r="K111" s="195"/>
      <c r="L111" s="27">
        <f t="shared" si="13"/>
        <v>368.10583146673929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3305192</v>
      </c>
      <c r="E112" s="1">
        <v>3313100</v>
      </c>
      <c r="F112" s="41">
        <f t="shared" si="16"/>
        <v>7.9080000000000004</v>
      </c>
      <c r="G112" s="22">
        <f t="shared" si="10"/>
        <v>31.114142420937842</v>
      </c>
      <c r="H112" s="45">
        <f t="shared" si="11"/>
        <v>16.085214236641164</v>
      </c>
      <c r="I112" s="42">
        <f t="shared" si="12"/>
        <v>47.199356657579003</v>
      </c>
      <c r="J112" s="30">
        <f t="shared" si="14"/>
        <v>310</v>
      </c>
      <c r="K112" s="195"/>
      <c r="L112" s="27">
        <f t="shared" si="13"/>
        <v>357.19935665757902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3545177</v>
      </c>
      <c r="E113" s="1">
        <v>3572240</v>
      </c>
      <c r="F113" s="41">
        <f t="shared" si="16"/>
        <v>27.062999999999999</v>
      </c>
      <c r="G113" s="22">
        <f t="shared" si="10"/>
        <v>106.47977191930207</v>
      </c>
      <c r="H113" s="45">
        <f t="shared" si="11"/>
        <v>16.085214236641164</v>
      </c>
      <c r="I113" s="42">
        <f t="shared" si="12"/>
        <v>122.56498615594323</v>
      </c>
      <c r="J113" s="30">
        <f t="shared" si="14"/>
        <v>310</v>
      </c>
      <c r="K113" s="195"/>
      <c r="L113" s="27">
        <f t="shared" si="13"/>
        <v>432.56498615594325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2713886</v>
      </c>
      <c r="E114" s="1">
        <v>2727134</v>
      </c>
      <c r="F114" s="41">
        <f t="shared" si="16"/>
        <v>13.248000000000001</v>
      </c>
      <c r="G114" s="22">
        <f t="shared" si="10"/>
        <v>52.124451035986922</v>
      </c>
      <c r="H114" s="45">
        <f t="shared" si="11"/>
        <v>16.085214236641164</v>
      </c>
      <c r="I114" s="42">
        <f t="shared" si="12"/>
        <v>68.209665272628087</v>
      </c>
      <c r="J114" s="30">
        <f t="shared" si="14"/>
        <v>310</v>
      </c>
      <c r="K114" s="195"/>
      <c r="L114" s="27">
        <f t="shared" si="13"/>
        <v>378.20966527262806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2729676</v>
      </c>
      <c r="E115" s="1">
        <v>2742688</v>
      </c>
      <c r="F115" s="41">
        <f t="shared" si="16"/>
        <v>13.012</v>
      </c>
      <c r="G115" s="22">
        <f t="shared" si="10"/>
        <v>51.195905561613962</v>
      </c>
      <c r="H115" s="45">
        <f t="shared" si="11"/>
        <v>16.085214236641164</v>
      </c>
      <c r="I115" s="42">
        <f t="shared" si="12"/>
        <v>67.281119798255133</v>
      </c>
      <c r="J115" s="30">
        <f t="shared" si="14"/>
        <v>310</v>
      </c>
      <c r="K115" s="195"/>
      <c r="L115" s="27">
        <f t="shared" si="13"/>
        <v>377.28111979825513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2727</v>
      </c>
      <c r="E116" s="1">
        <v>3795</v>
      </c>
      <c r="F116" s="41">
        <f t="shared" si="16"/>
        <v>1.0680000000000001</v>
      </c>
      <c r="G116" s="22">
        <f t="shared" si="10"/>
        <v>4.2020617230098152</v>
      </c>
      <c r="H116" s="45">
        <f t="shared" si="11"/>
        <v>16.085214236641164</v>
      </c>
      <c r="I116" s="42">
        <f t="shared" si="12"/>
        <v>20.28727595965098</v>
      </c>
      <c r="J116" s="30">
        <f t="shared" si="14"/>
        <v>310</v>
      </c>
      <c r="K116" s="195"/>
      <c r="L116" s="27">
        <f t="shared" si="13"/>
        <v>330.28727595965097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526585</v>
      </c>
      <c r="E117" s="1">
        <v>529773</v>
      </c>
      <c r="F117" s="41">
        <f t="shared" si="16"/>
        <v>3.1880000000000002</v>
      </c>
      <c r="G117" s="22">
        <f t="shared" si="10"/>
        <v>12.543232933478736</v>
      </c>
      <c r="H117" s="45">
        <f t="shared" si="11"/>
        <v>16.085214236641164</v>
      </c>
      <c r="I117" s="42">
        <f t="shared" si="12"/>
        <v>28.628447170119898</v>
      </c>
      <c r="J117" s="30">
        <f t="shared" si="14"/>
        <v>310</v>
      </c>
      <c r="K117" s="195"/>
      <c r="L117" s="27">
        <f t="shared" si="13"/>
        <v>338.6284471701199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2654117</v>
      </c>
      <c r="E118" s="1">
        <v>2666211</v>
      </c>
      <c r="F118" s="41">
        <f t="shared" si="16"/>
        <v>12.093999999999999</v>
      </c>
      <c r="G118" s="22">
        <f t="shared" si="10"/>
        <v>47.58402104689204</v>
      </c>
      <c r="H118" s="45">
        <f t="shared" si="11"/>
        <v>16.085214236641164</v>
      </c>
      <c r="I118" s="42">
        <f t="shared" si="12"/>
        <v>63.669235283533204</v>
      </c>
      <c r="J118" s="30">
        <f t="shared" si="14"/>
        <v>310</v>
      </c>
      <c r="K118" s="195">
        <v>10</v>
      </c>
      <c r="L118" s="27">
        <f t="shared" si="13"/>
        <v>383.66923528353323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2677361</v>
      </c>
      <c r="E119" s="1">
        <v>2692513</v>
      </c>
      <c r="F119" s="41">
        <f t="shared" si="16"/>
        <v>15.152000000000001</v>
      </c>
      <c r="G119" s="22">
        <f t="shared" si="10"/>
        <v>59.615767066521272</v>
      </c>
      <c r="H119" s="45">
        <f t="shared" si="11"/>
        <v>16.085214236641164</v>
      </c>
      <c r="I119" s="42">
        <f t="shared" si="12"/>
        <v>75.700981303162436</v>
      </c>
      <c r="J119" s="30">
        <f t="shared" si="14"/>
        <v>310</v>
      </c>
      <c r="K119" s="195"/>
      <c r="L119" s="27">
        <f t="shared" si="13"/>
        <v>385.70098130316245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5693560</v>
      </c>
      <c r="E120" s="1">
        <v>5734906</v>
      </c>
      <c r="F120" s="41">
        <f t="shared" si="16"/>
        <v>41.346000000000004</v>
      </c>
      <c r="G120" s="22">
        <f t="shared" si="10"/>
        <v>162.67644569247548</v>
      </c>
      <c r="H120" s="45">
        <f t="shared" si="11"/>
        <v>16.085214236641164</v>
      </c>
      <c r="I120" s="42">
        <f t="shared" si="12"/>
        <v>178.76165992911666</v>
      </c>
      <c r="J120" s="30">
        <f t="shared" si="14"/>
        <v>310</v>
      </c>
      <c r="K120" s="195"/>
      <c r="L120" s="27">
        <f t="shared" si="13"/>
        <v>488.76165992911666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28513</v>
      </c>
      <c r="E121" s="1">
        <v>43282</v>
      </c>
      <c r="F121" s="41">
        <f t="shared" si="16"/>
        <v>14.769</v>
      </c>
      <c r="G121" s="22">
        <f t="shared" si="10"/>
        <v>58.108847928026172</v>
      </c>
      <c r="H121" s="45">
        <f t="shared" si="11"/>
        <v>16.085214236641164</v>
      </c>
      <c r="I121" s="42">
        <f t="shared" si="12"/>
        <v>74.194062164667343</v>
      </c>
      <c r="J121" s="30">
        <f t="shared" si="14"/>
        <v>310</v>
      </c>
      <c r="K121" s="195"/>
      <c r="L121" s="27">
        <f t="shared" si="13"/>
        <v>384.19406216466734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4192174</v>
      </c>
      <c r="E122" s="1">
        <v>4224661</v>
      </c>
      <c r="F122" s="41">
        <f t="shared" si="16"/>
        <v>32.487000000000002</v>
      </c>
      <c r="G122" s="22">
        <f t="shared" si="10"/>
        <v>127.82057977099238</v>
      </c>
      <c r="H122" s="45">
        <f t="shared" si="11"/>
        <v>16.085214236641164</v>
      </c>
      <c r="I122" s="42">
        <f t="shared" si="12"/>
        <v>143.90579400763355</v>
      </c>
      <c r="J122" s="30">
        <f t="shared" si="14"/>
        <v>310</v>
      </c>
      <c r="K122" s="195"/>
      <c r="L122" s="27">
        <f t="shared" si="13"/>
        <v>453.90579400763352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2908047</v>
      </c>
      <c r="E123" s="1">
        <v>2924677</v>
      </c>
      <c r="F123" s="41">
        <f t="shared" si="16"/>
        <v>16.63</v>
      </c>
      <c r="G123" s="22">
        <f t="shared" si="10"/>
        <v>65.430979825517994</v>
      </c>
      <c r="H123" s="45">
        <f t="shared" si="11"/>
        <v>16.085214236641164</v>
      </c>
      <c r="I123" s="42">
        <f t="shared" si="12"/>
        <v>81.516194062159158</v>
      </c>
      <c r="J123" s="30">
        <f t="shared" si="14"/>
        <v>310</v>
      </c>
      <c r="K123" s="195"/>
      <c r="L123" s="27">
        <f t="shared" si="13"/>
        <v>391.51619406215917</v>
      </c>
    </row>
    <row r="124" spans="1:12" ht="15" customHeight="1" x14ac:dyDescent="0.45">
      <c r="A124" s="318"/>
      <c r="B124" s="5" t="s">
        <v>9</v>
      </c>
      <c r="C124" s="2">
        <v>102</v>
      </c>
      <c r="D124" s="1">
        <v>21378</v>
      </c>
      <c r="E124" s="1">
        <v>21593</v>
      </c>
      <c r="F124" s="41">
        <f>(E124-D124)*0.01</f>
        <v>2.15</v>
      </c>
      <c r="G124" s="22">
        <f t="shared" si="10"/>
        <v>8.4592066521264986</v>
      </c>
      <c r="H124" s="45">
        <f t="shared" si="11"/>
        <v>16.085214236641164</v>
      </c>
      <c r="I124" s="42">
        <f t="shared" si="12"/>
        <v>24.544420888767661</v>
      </c>
      <c r="J124" s="30">
        <f t="shared" si="14"/>
        <v>310</v>
      </c>
      <c r="K124" s="195"/>
      <c r="L124" s="27">
        <f t="shared" si="13"/>
        <v>334.54442088876766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2796195</v>
      </c>
      <c r="E125" s="1">
        <v>2839767</v>
      </c>
      <c r="F125" s="41">
        <f t="shared" ref="F125:F158" si="17">(E125-D125)*$N$1</f>
        <v>43.572000000000003</v>
      </c>
      <c r="G125" s="22">
        <f t="shared" si="10"/>
        <v>171.43467546346784</v>
      </c>
      <c r="H125" s="45">
        <f t="shared" si="11"/>
        <v>16.085214236641164</v>
      </c>
      <c r="I125" s="42">
        <f t="shared" si="12"/>
        <v>187.51988970010899</v>
      </c>
      <c r="J125" s="30">
        <f t="shared" si="14"/>
        <v>310</v>
      </c>
      <c r="K125" s="195"/>
      <c r="L125" s="27">
        <f t="shared" si="13"/>
        <v>497.51988970010899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2878404</v>
      </c>
      <c r="E126" s="1">
        <v>2878415</v>
      </c>
      <c r="F126" s="41">
        <f t="shared" si="17"/>
        <v>1.0999999999999999E-2</v>
      </c>
      <c r="G126" s="22">
        <f t="shared" si="10"/>
        <v>4.3279661941112324E-2</v>
      </c>
      <c r="H126" s="45">
        <f t="shared" si="11"/>
        <v>16.085214236641164</v>
      </c>
      <c r="I126" s="42">
        <f t="shared" si="12"/>
        <v>16.128493898582278</v>
      </c>
      <c r="J126" s="30">
        <f t="shared" si="14"/>
        <v>310</v>
      </c>
      <c r="K126" s="195"/>
      <c r="L126" s="27">
        <f t="shared" si="13"/>
        <v>326.12849389858229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2567452</v>
      </c>
      <c r="E127" s="1">
        <v>2578921</v>
      </c>
      <c r="F127" s="41">
        <f t="shared" si="17"/>
        <v>11.468999999999999</v>
      </c>
      <c r="G127" s="22">
        <f t="shared" si="10"/>
        <v>45.124949345692471</v>
      </c>
      <c r="H127" s="45">
        <f t="shared" si="11"/>
        <v>16.085214236641164</v>
      </c>
      <c r="I127" s="42">
        <f t="shared" si="12"/>
        <v>61.210163582333635</v>
      </c>
      <c r="J127" s="30">
        <f t="shared" si="14"/>
        <v>310</v>
      </c>
      <c r="K127" s="195"/>
      <c r="L127" s="27">
        <f t="shared" si="13"/>
        <v>371.21016358233362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4684711</v>
      </c>
      <c r="E128" s="1">
        <v>4698408</v>
      </c>
      <c r="F128" s="41">
        <f t="shared" si="17"/>
        <v>13.697000000000001</v>
      </c>
      <c r="G128" s="22">
        <f t="shared" si="10"/>
        <v>53.891048146128689</v>
      </c>
      <c r="H128" s="45">
        <f t="shared" si="11"/>
        <v>16.085214236641164</v>
      </c>
      <c r="I128" s="42">
        <f t="shared" si="12"/>
        <v>69.976262382769846</v>
      </c>
      <c r="J128" s="30">
        <f t="shared" si="14"/>
        <v>310</v>
      </c>
      <c r="K128" s="195"/>
      <c r="L128" s="27">
        <f t="shared" si="13"/>
        <v>379.97626238276985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2043951</v>
      </c>
      <c r="E129" s="1">
        <v>2043951</v>
      </c>
      <c r="F129" s="41">
        <f t="shared" si="17"/>
        <v>0</v>
      </c>
      <c r="G129" s="22">
        <f t="shared" si="10"/>
        <v>0</v>
      </c>
      <c r="H129" s="45">
        <f t="shared" si="11"/>
        <v>16.085214236641164</v>
      </c>
      <c r="I129" s="42">
        <f t="shared" si="12"/>
        <v>16.085214236641164</v>
      </c>
      <c r="J129" s="30">
        <f t="shared" si="14"/>
        <v>310</v>
      </c>
      <c r="K129" s="195">
        <v>10</v>
      </c>
      <c r="L129" s="27">
        <f t="shared" si="13"/>
        <v>336.08521423664115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2887178</v>
      </c>
      <c r="E130" s="1">
        <v>2894083</v>
      </c>
      <c r="F130" s="41">
        <f t="shared" si="17"/>
        <v>6.9050000000000002</v>
      </c>
      <c r="G130" s="22">
        <f t="shared" si="10"/>
        <v>27.167824154852781</v>
      </c>
      <c r="H130" s="45">
        <f t="shared" si="11"/>
        <v>16.085214236641164</v>
      </c>
      <c r="I130" s="42">
        <f t="shared" si="12"/>
        <v>43.253038391493945</v>
      </c>
      <c r="J130" s="30">
        <f t="shared" si="14"/>
        <v>310</v>
      </c>
      <c r="K130" s="195"/>
      <c r="L130" s="27">
        <f t="shared" si="13"/>
        <v>353.25303839149393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2931914</v>
      </c>
      <c r="E131" s="1">
        <v>2949763</v>
      </c>
      <c r="F131" s="41">
        <f t="shared" si="17"/>
        <v>17.849</v>
      </c>
      <c r="G131" s="22">
        <f t="shared" si="10"/>
        <v>70.227153271537631</v>
      </c>
      <c r="H131" s="45">
        <f t="shared" si="11"/>
        <v>16.085214236641164</v>
      </c>
      <c r="I131" s="42">
        <f t="shared" si="12"/>
        <v>86.312367508178795</v>
      </c>
      <c r="J131" s="30">
        <f t="shared" si="14"/>
        <v>310</v>
      </c>
      <c r="K131" s="195"/>
      <c r="L131" s="27">
        <f t="shared" si="13"/>
        <v>396.3123675081788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1855649</v>
      </c>
      <c r="E132" s="1">
        <v>1859344</v>
      </c>
      <c r="F132" s="41">
        <f t="shared" si="17"/>
        <v>3.6950000000000003</v>
      </c>
      <c r="G132" s="22">
        <f t="shared" ref="G132:G183" si="18">MMULT($G$1,1/$F$183)*F132</f>
        <v>14.538031897491823</v>
      </c>
      <c r="H132" s="45">
        <f t="shared" ref="H132:H182" si="19">MMULT($H$1,1/180)</f>
        <v>16.085214236641164</v>
      </c>
      <c r="I132" s="42">
        <f t="shared" ref="I132:I182" si="20">SUM(G132,H132)</f>
        <v>30.623246134132987</v>
      </c>
      <c r="J132" s="30">
        <f t="shared" si="14"/>
        <v>310</v>
      </c>
      <c r="K132" s="195"/>
      <c r="L132" s="27">
        <f t="shared" ref="L132:L182" si="21">SUM(I132,J132,K132)</f>
        <v>340.62324613413301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3368031</v>
      </c>
      <c r="E133" s="1">
        <v>3385634</v>
      </c>
      <c r="F133" s="41">
        <f t="shared" si="17"/>
        <v>17.603000000000002</v>
      </c>
      <c r="G133" s="22">
        <f t="shared" si="18"/>
        <v>69.259262649945484</v>
      </c>
      <c r="H133" s="45">
        <f t="shared" si="19"/>
        <v>16.085214236641164</v>
      </c>
      <c r="I133" s="42">
        <f t="shared" si="20"/>
        <v>85.344476886586648</v>
      </c>
      <c r="J133" s="30">
        <f t="shared" ref="J133:J182" si="22">SUM(J132)</f>
        <v>310</v>
      </c>
      <c r="K133" s="195"/>
      <c r="L133" s="27">
        <f t="shared" si="21"/>
        <v>395.34447688658668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3910100</v>
      </c>
      <c r="E134" s="1">
        <v>3927802</v>
      </c>
      <c r="F134" s="41">
        <f t="shared" si="17"/>
        <v>17.702000000000002</v>
      </c>
      <c r="G134" s="22">
        <f t="shared" si="18"/>
        <v>69.648779607415491</v>
      </c>
      <c r="H134" s="45">
        <f t="shared" si="19"/>
        <v>16.085214236641164</v>
      </c>
      <c r="I134" s="42">
        <f t="shared" si="20"/>
        <v>85.733993844056656</v>
      </c>
      <c r="J134" s="30">
        <f t="shared" si="22"/>
        <v>310</v>
      </c>
      <c r="K134" s="195"/>
      <c r="L134" s="27">
        <f t="shared" si="21"/>
        <v>395.73399384405667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1888982</v>
      </c>
      <c r="E135" s="1">
        <v>1891509</v>
      </c>
      <c r="F135" s="41">
        <f t="shared" si="17"/>
        <v>2.5270000000000001</v>
      </c>
      <c r="G135" s="22">
        <f t="shared" si="18"/>
        <v>9.9425187022900765</v>
      </c>
      <c r="H135" s="45">
        <f t="shared" si="19"/>
        <v>16.085214236641164</v>
      </c>
      <c r="I135" s="42">
        <f t="shared" si="20"/>
        <v>26.027732938931241</v>
      </c>
      <c r="J135" s="30">
        <f t="shared" si="22"/>
        <v>310</v>
      </c>
      <c r="K135" s="195"/>
      <c r="L135" s="27">
        <f t="shared" si="21"/>
        <v>336.02773293893125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2010323</v>
      </c>
      <c r="E136" s="1">
        <v>2010323</v>
      </c>
      <c r="F136" s="41">
        <f t="shared" si="17"/>
        <v>0</v>
      </c>
      <c r="G136" s="22">
        <f t="shared" si="18"/>
        <v>0</v>
      </c>
      <c r="H136" s="45">
        <f t="shared" si="19"/>
        <v>16.085214236641164</v>
      </c>
      <c r="I136" s="42">
        <f t="shared" si="20"/>
        <v>16.085214236641164</v>
      </c>
      <c r="J136" s="30">
        <f t="shared" si="22"/>
        <v>310</v>
      </c>
      <c r="K136" s="195"/>
      <c r="L136" s="27">
        <f t="shared" si="21"/>
        <v>326.08521423664115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4393380</v>
      </c>
      <c r="E137" s="1">
        <v>4419742</v>
      </c>
      <c r="F137" s="41">
        <f t="shared" si="17"/>
        <v>26.362000000000002</v>
      </c>
      <c r="G137" s="22">
        <f t="shared" si="18"/>
        <v>103.72167709923666</v>
      </c>
      <c r="H137" s="45">
        <f t="shared" si="19"/>
        <v>16.085214236641164</v>
      </c>
      <c r="I137" s="42">
        <f t="shared" si="20"/>
        <v>119.80689133587782</v>
      </c>
      <c r="J137" s="30">
        <f t="shared" si="22"/>
        <v>310</v>
      </c>
      <c r="K137" s="195">
        <v>10</v>
      </c>
      <c r="L137" s="27">
        <f t="shared" si="21"/>
        <v>439.80689133587782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2390648</v>
      </c>
      <c r="E138" s="1">
        <v>2406321</v>
      </c>
      <c r="F138" s="41">
        <f t="shared" si="17"/>
        <v>15.673</v>
      </c>
      <c r="G138" s="22">
        <f t="shared" si="18"/>
        <v>61.665649236641222</v>
      </c>
      <c r="H138" s="45">
        <f t="shared" si="19"/>
        <v>16.085214236641164</v>
      </c>
      <c r="I138" s="42">
        <f t="shared" si="20"/>
        <v>77.750863473282379</v>
      </c>
      <c r="J138" s="30">
        <f t="shared" si="22"/>
        <v>310</v>
      </c>
      <c r="K138" s="195"/>
      <c r="L138" s="27">
        <f t="shared" si="21"/>
        <v>387.75086347328238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3011884</v>
      </c>
      <c r="E139" s="1">
        <v>3032899</v>
      </c>
      <c r="F139" s="41">
        <f t="shared" si="17"/>
        <v>21.015000000000001</v>
      </c>
      <c r="G139" s="22">
        <f t="shared" si="18"/>
        <v>82.683826881134138</v>
      </c>
      <c r="H139" s="45">
        <f t="shared" si="19"/>
        <v>16.085214236641164</v>
      </c>
      <c r="I139" s="42">
        <f t="shared" si="20"/>
        <v>98.769041117775302</v>
      </c>
      <c r="J139" s="30">
        <f t="shared" si="22"/>
        <v>310</v>
      </c>
      <c r="K139" s="195"/>
      <c r="L139" s="27">
        <f t="shared" si="21"/>
        <v>408.76904111777532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2993032</v>
      </c>
      <c r="E140" s="1">
        <v>2999844</v>
      </c>
      <c r="F140" s="41">
        <f t="shared" si="17"/>
        <v>6.8120000000000003</v>
      </c>
      <c r="G140" s="22">
        <f t="shared" si="18"/>
        <v>26.801914285714286</v>
      </c>
      <c r="H140" s="45">
        <f t="shared" si="19"/>
        <v>16.085214236641164</v>
      </c>
      <c r="I140" s="42">
        <f t="shared" si="20"/>
        <v>42.887128522355454</v>
      </c>
      <c r="J140" s="30">
        <f t="shared" si="22"/>
        <v>310</v>
      </c>
      <c r="K140" s="195"/>
      <c r="L140" s="27">
        <f t="shared" si="21"/>
        <v>352.88712852235545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2971394</v>
      </c>
      <c r="E141" s="1">
        <v>2974990</v>
      </c>
      <c r="F141" s="41">
        <f t="shared" si="17"/>
        <v>3.5960000000000001</v>
      </c>
      <c r="G141" s="22">
        <f t="shared" si="18"/>
        <v>14.14851494002181</v>
      </c>
      <c r="H141" s="45">
        <f t="shared" si="19"/>
        <v>16.085214236641164</v>
      </c>
      <c r="I141" s="42">
        <f t="shared" si="20"/>
        <v>30.233729176662976</v>
      </c>
      <c r="J141" s="30">
        <f t="shared" si="22"/>
        <v>310</v>
      </c>
      <c r="K141" s="195"/>
      <c r="L141" s="27">
        <f>SUM(I141,J141,K141)</f>
        <v>340.23372917666296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3041482</v>
      </c>
      <c r="E142" s="1">
        <v>3047195</v>
      </c>
      <c r="F142" s="41">
        <f t="shared" si="17"/>
        <v>5.7130000000000001</v>
      </c>
      <c r="G142" s="22">
        <f t="shared" si="18"/>
        <v>22.477882606324975</v>
      </c>
      <c r="H142" s="45">
        <f t="shared" si="19"/>
        <v>16.085214236641164</v>
      </c>
      <c r="I142" s="42">
        <f t="shared" si="20"/>
        <v>38.563096842966139</v>
      </c>
      <c r="J142" s="30">
        <f t="shared" si="22"/>
        <v>310</v>
      </c>
      <c r="K142" s="195"/>
      <c r="L142" s="27">
        <f t="shared" si="21"/>
        <v>348.56309684296616</v>
      </c>
    </row>
    <row r="143" spans="1:12" x14ac:dyDescent="0.45">
      <c r="A143" s="314"/>
      <c r="B143" s="5" t="s">
        <v>10</v>
      </c>
      <c r="C143" s="2">
        <v>101</v>
      </c>
      <c r="D143" s="1">
        <v>3627677</v>
      </c>
      <c r="E143" s="1">
        <v>3643620</v>
      </c>
      <c r="F143" s="41">
        <f t="shared" si="17"/>
        <v>15.943</v>
      </c>
      <c r="G143" s="22">
        <f t="shared" si="18"/>
        <v>62.727968211559435</v>
      </c>
      <c r="H143" s="45">
        <f t="shared" si="19"/>
        <v>16.085214236641164</v>
      </c>
      <c r="I143" s="42">
        <f t="shared" si="20"/>
        <v>78.813182448200592</v>
      </c>
      <c r="J143" s="30">
        <f t="shared" si="22"/>
        <v>310</v>
      </c>
      <c r="K143" s="195"/>
      <c r="L143" s="27">
        <f t="shared" si="21"/>
        <v>388.81318244820056</v>
      </c>
    </row>
    <row r="144" spans="1:12" x14ac:dyDescent="0.45">
      <c r="A144" s="314"/>
      <c r="B144" s="5" t="s">
        <v>10</v>
      </c>
      <c r="C144" s="2">
        <v>102</v>
      </c>
      <c r="D144" s="1">
        <v>4016291</v>
      </c>
      <c r="E144" s="1">
        <v>4024864</v>
      </c>
      <c r="F144" s="41">
        <f t="shared" si="17"/>
        <v>8.5730000000000004</v>
      </c>
      <c r="G144" s="22">
        <f t="shared" si="18"/>
        <v>33.730594711014177</v>
      </c>
      <c r="H144" s="45">
        <f t="shared" si="19"/>
        <v>16.085214236641164</v>
      </c>
      <c r="I144" s="42">
        <f t="shared" si="20"/>
        <v>49.815808947655341</v>
      </c>
      <c r="J144" s="30">
        <f t="shared" si="22"/>
        <v>310</v>
      </c>
      <c r="K144" s="195"/>
      <c r="L144" s="27">
        <f t="shared" si="21"/>
        <v>359.81580894765534</v>
      </c>
    </row>
    <row r="145" spans="1:12" x14ac:dyDescent="0.45">
      <c r="A145" s="314"/>
      <c r="B145" s="5" t="s">
        <v>10</v>
      </c>
      <c r="C145" s="2">
        <v>103</v>
      </c>
      <c r="D145" s="1">
        <v>3922263</v>
      </c>
      <c r="E145" s="1">
        <v>3932293</v>
      </c>
      <c r="F145" s="41">
        <f t="shared" si="17"/>
        <v>10.029999999999999</v>
      </c>
      <c r="G145" s="22">
        <f t="shared" si="18"/>
        <v>39.463182660850599</v>
      </c>
      <c r="H145" s="45">
        <f t="shared" si="19"/>
        <v>16.085214236641164</v>
      </c>
      <c r="I145" s="42">
        <f t="shared" si="20"/>
        <v>55.548396897491763</v>
      </c>
      <c r="J145" s="30">
        <f t="shared" si="22"/>
        <v>310</v>
      </c>
      <c r="K145" s="195"/>
      <c r="L145" s="27">
        <f t="shared" si="21"/>
        <v>365.54839689749178</v>
      </c>
    </row>
    <row r="146" spans="1:12" x14ac:dyDescent="0.45">
      <c r="A146" s="314"/>
      <c r="B146" s="5" t="s">
        <v>10</v>
      </c>
      <c r="C146" s="2">
        <v>104</v>
      </c>
      <c r="D146" s="1">
        <v>2901898</v>
      </c>
      <c r="E146" s="1">
        <v>2916142</v>
      </c>
      <c r="F146" s="41">
        <f t="shared" si="17"/>
        <v>14.244</v>
      </c>
      <c r="G146" s="22">
        <f t="shared" si="18"/>
        <v>56.043227699018537</v>
      </c>
      <c r="H146" s="45">
        <f t="shared" si="19"/>
        <v>16.085214236641164</v>
      </c>
      <c r="I146" s="42">
        <f t="shared" si="20"/>
        <v>72.128441935659708</v>
      </c>
      <c r="J146" s="30">
        <f t="shared" si="22"/>
        <v>310</v>
      </c>
      <c r="K146" s="195"/>
      <c r="L146" s="27">
        <f t="shared" si="21"/>
        <v>382.12844193565968</v>
      </c>
    </row>
    <row r="147" spans="1:12" x14ac:dyDescent="0.45">
      <c r="A147" s="314"/>
      <c r="B147" s="5" t="s">
        <v>10</v>
      </c>
      <c r="C147" s="2">
        <v>201</v>
      </c>
      <c r="D147" s="1">
        <v>5184542</v>
      </c>
      <c r="E147" s="1">
        <v>5229841</v>
      </c>
      <c r="F147" s="41">
        <f t="shared" si="17"/>
        <v>45.298999999999999</v>
      </c>
      <c r="G147" s="22">
        <f t="shared" si="18"/>
        <v>178.22958238822247</v>
      </c>
      <c r="H147" s="45">
        <f t="shared" si="19"/>
        <v>16.085214236641164</v>
      </c>
      <c r="I147" s="42">
        <f t="shared" si="20"/>
        <v>194.31479662486362</v>
      </c>
      <c r="J147" s="30">
        <f t="shared" si="22"/>
        <v>310</v>
      </c>
      <c r="K147" s="195"/>
      <c r="L147" s="27">
        <f t="shared" si="21"/>
        <v>504.31479662486362</v>
      </c>
    </row>
    <row r="148" spans="1:12" x14ac:dyDescent="0.45">
      <c r="A148" s="314"/>
      <c r="B148" s="5" t="s">
        <v>10</v>
      </c>
      <c r="C148" s="2">
        <v>202</v>
      </c>
      <c r="D148" s="1">
        <v>3366747</v>
      </c>
      <c r="E148" s="1">
        <v>3385844</v>
      </c>
      <c r="F148" s="41">
        <f t="shared" si="17"/>
        <v>19.097000000000001</v>
      </c>
      <c r="G148" s="22">
        <f t="shared" si="18"/>
        <v>75.137427644492917</v>
      </c>
      <c r="H148" s="45">
        <f t="shared" si="19"/>
        <v>16.085214236641164</v>
      </c>
      <c r="I148" s="42">
        <f t="shared" si="20"/>
        <v>91.222641881134081</v>
      </c>
      <c r="J148" s="30">
        <f t="shared" si="22"/>
        <v>310</v>
      </c>
      <c r="K148" s="195"/>
      <c r="L148" s="27">
        <f t="shared" si="21"/>
        <v>401.22264188113411</v>
      </c>
    </row>
    <row r="149" spans="1:12" x14ac:dyDescent="0.45">
      <c r="A149" s="314"/>
      <c r="B149" s="5" t="s">
        <v>10</v>
      </c>
      <c r="C149" s="2">
        <v>203</v>
      </c>
      <c r="D149" s="1">
        <v>3386675</v>
      </c>
      <c r="E149" s="1">
        <v>3402393</v>
      </c>
      <c r="F149" s="41">
        <f t="shared" si="17"/>
        <v>15.718</v>
      </c>
      <c r="G149" s="22">
        <f t="shared" si="18"/>
        <v>61.842702399127589</v>
      </c>
      <c r="H149" s="45">
        <f t="shared" si="19"/>
        <v>16.085214236641164</v>
      </c>
      <c r="I149" s="42">
        <f t="shared" si="20"/>
        <v>77.927916635768753</v>
      </c>
      <c r="J149" s="30">
        <f t="shared" si="22"/>
        <v>310</v>
      </c>
      <c r="K149" s="195"/>
      <c r="L149" s="27">
        <f t="shared" si="21"/>
        <v>387.92791663576872</v>
      </c>
    </row>
    <row r="150" spans="1:12" x14ac:dyDescent="0.45">
      <c r="A150" s="314"/>
      <c r="B150" s="5" t="s">
        <v>10</v>
      </c>
      <c r="C150" s="2">
        <v>204</v>
      </c>
      <c r="D150" s="1">
        <v>1876157</v>
      </c>
      <c r="E150" s="1">
        <v>1892132</v>
      </c>
      <c r="F150" s="41">
        <f t="shared" si="17"/>
        <v>15.975</v>
      </c>
      <c r="G150" s="22">
        <f t="shared" si="18"/>
        <v>62.85387268266085</v>
      </c>
      <c r="H150" s="45">
        <f t="shared" si="19"/>
        <v>16.085214236641164</v>
      </c>
      <c r="I150" s="42">
        <f t="shared" si="20"/>
        <v>78.939086919302014</v>
      </c>
      <c r="J150" s="30">
        <f t="shared" si="22"/>
        <v>310</v>
      </c>
      <c r="K150" s="195"/>
      <c r="L150" s="27">
        <f t="shared" si="21"/>
        <v>388.93908691930199</v>
      </c>
    </row>
    <row r="151" spans="1:12" x14ac:dyDescent="0.45">
      <c r="A151" s="314"/>
      <c r="B151" s="5" t="s">
        <v>10</v>
      </c>
      <c r="C151" s="2">
        <v>301</v>
      </c>
      <c r="D151" s="1">
        <v>2299408</v>
      </c>
      <c r="E151" s="1">
        <v>2310813</v>
      </c>
      <c r="F151" s="41">
        <f t="shared" si="17"/>
        <v>11.404999999999999</v>
      </c>
      <c r="G151" s="22">
        <f t="shared" si="18"/>
        <v>44.873140403489636</v>
      </c>
      <c r="H151" s="45">
        <f t="shared" si="19"/>
        <v>16.085214236641164</v>
      </c>
      <c r="I151" s="42">
        <f t="shared" si="20"/>
        <v>60.9583546401308</v>
      </c>
      <c r="J151" s="30">
        <f t="shared" si="22"/>
        <v>310</v>
      </c>
      <c r="K151" s="195"/>
      <c r="L151" s="27">
        <f t="shared" si="21"/>
        <v>370.95835464013078</v>
      </c>
    </row>
    <row r="152" spans="1:12" x14ac:dyDescent="0.45">
      <c r="A152" s="314"/>
      <c r="B152" s="5" t="s">
        <v>10</v>
      </c>
      <c r="C152" s="2">
        <v>302</v>
      </c>
      <c r="D152" s="1">
        <v>4138773</v>
      </c>
      <c r="E152" s="1">
        <v>4158251</v>
      </c>
      <c r="F152" s="41">
        <f t="shared" si="17"/>
        <v>19.478000000000002</v>
      </c>
      <c r="G152" s="22">
        <f t="shared" si="18"/>
        <v>76.63647775354417</v>
      </c>
      <c r="H152" s="45">
        <f t="shared" si="19"/>
        <v>16.085214236641164</v>
      </c>
      <c r="I152" s="42">
        <f t="shared" si="20"/>
        <v>92.721691990185334</v>
      </c>
      <c r="J152" s="30">
        <f t="shared" si="22"/>
        <v>310</v>
      </c>
      <c r="K152" s="195"/>
      <c r="L152" s="27">
        <f t="shared" si="21"/>
        <v>402.72169199018532</v>
      </c>
    </row>
    <row r="153" spans="1:12" x14ac:dyDescent="0.45">
      <c r="A153" s="314"/>
      <c r="B153" s="5" t="s">
        <v>10</v>
      </c>
      <c r="C153" s="2">
        <v>303</v>
      </c>
      <c r="D153" s="1">
        <v>2622071</v>
      </c>
      <c r="E153" s="1">
        <v>2627045</v>
      </c>
      <c r="F153" s="41">
        <f t="shared" si="17"/>
        <v>4.9740000000000002</v>
      </c>
      <c r="G153" s="22">
        <f t="shared" si="18"/>
        <v>19.570276226826611</v>
      </c>
      <c r="H153" s="45">
        <f t="shared" si="19"/>
        <v>16.085214236641164</v>
      </c>
      <c r="I153" s="42">
        <f t="shared" si="20"/>
        <v>35.655490463467771</v>
      </c>
      <c r="J153" s="30">
        <f t="shared" si="22"/>
        <v>310</v>
      </c>
      <c r="K153" s="195"/>
      <c r="L153" s="27">
        <f>SUM(I153,J153,K153)</f>
        <v>345.6554904634678</v>
      </c>
    </row>
    <row r="154" spans="1:12" x14ac:dyDescent="0.45">
      <c r="A154" s="314"/>
      <c r="B154" s="5" t="s">
        <v>10</v>
      </c>
      <c r="C154" s="2">
        <v>304</v>
      </c>
      <c r="D154" s="1">
        <v>2260146</v>
      </c>
      <c r="E154" s="1">
        <v>2279427</v>
      </c>
      <c r="F154" s="41">
        <f t="shared" si="17"/>
        <v>19.280999999999999</v>
      </c>
      <c r="G154" s="22">
        <f t="shared" si="18"/>
        <v>75.86137835332606</v>
      </c>
      <c r="H154" s="45">
        <f t="shared" si="19"/>
        <v>16.085214236641164</v>
      </c>
      <c r="I154" s="42">
        <f t="shared" si="20"/>
        <v>91.946592589967224</v>
      </c>
      <c r="J154" s="30">
        <f t="shared" si="22"/>
        <v>310</v>
      </c>
      <c r="K154" s="195">
        <v>300</v>
      </c>
      <c r="L154" s="27">
        <f t="shared" si="21"/>
        <v>701.94659258996717</v>
      </c>
    </row>
    <row r="155" spans="1:12" x14ac:dyDescent="0.45">
      <c r="A155" s="314"/>
      <c r="B155" s="5" t="s">
        <v>10</v>
      </c>
      <c r="C155" s="2">
        <v>401</v>
      </c>
      <c r="D155" s="1">
        <v>4832498</v>
      </c>
      <c r="E155" s="1">
        <v>4859094</v>
      </c>
      <c r="F155" s="41">
        <f t="shared" si="17"/>
        <v>26.596</v>
      </c>
      <c r="G155" s="22">
        <f t="shared" si="18"/>
        <v>104.64235354416576</v>
      </c>
      <c r="H155" s="45">
        <f t="shared" si="19"/>
        <v>16.085214236641164</v>
      </c>
      <c r="I155" s="42">
        <f t="shared" si="20"/>
        <v>120.72756778080692</v>
      </c>
      <c r="J155" s="30">
        <f t="shared" si="22"/>
        <v>310</v>
      </c>
      <c r="K155" s="195">
        <v>10</v>
      </c>
      <c r="L155" s="27">
        <f t="shared" si="21"/>
        <v>440.72756778080691</v>
      </c>
    </row>
    <row r="156" spans="1:12" x14ac:dyDescent="0.45">
      <c r="A156" s="314"/>
      <c r="B156" s="5" t="s">
        <v>10</v>
      </c>
      <c r="C156" s="2">
        <v>402</v>
      </c>
      <c r="D156" s="1">
        <v>3705637</v>
      </c>
      <c r="E156" s="1">
        <v>3719001</v>
      </c>
      <c r="F156" s="41">
        <f t="shared" si="17"/>
        <v>13.364000000000001</v>
      </c>
      <c r="G156" s="22">
        <f t="shared" si="18"/>
        <v>52.58085474372956</v>
      </c>
      <c r="H156" s="45">
        <f t="shared" si="19"/>
        <v>16.085214236641164</v>
      </c>
      <c r="I156" s="42">
        <f t="shared" si="20"/>
        <v>68.666068980370724</v>
      </c>
      <c r="J156" s="30">
        <f t="shared" si="22"/>
        <v>310</v>
      </c>
      <c r="K156" s="195"/>
      <c r="L156" s="27">
        <f t="shared" si="21"/>
        <v>378.66606898037071</v>
      </c>
    </row>
    <row r="157" spans="1:12" x14ac:dyDescent="0.45">
      <c r="A157" s="314"/>
      <c r="B157" s="5" t="s">
        <v>10</v>
      </c>
      <c r="C157" s="2">
        <v>403</v>
      </c>
      <c r="D157" s="1">
        <v>1115</v>
      </c>
      <c r="E157" s="1">
        <v>7228</v>
      </c>
      <c r="F157" s="41">
        <f t="shared" si="17"/>
        <v>6.1130000000000004</v>
      </c>
      <c r="G157" s="22">
        <f t="shared" si="18"/>
        <v>24.051688495092694</v>
      </c>
      <c r="H157" s="45">
        <f t="shared" si="19"/>
        <v>16.085214236641164</v>
      </c>
      <c r="I157" s="42">
        <f t="shared" si="20"/>
        <v>40.136902731733855</v>
      </c>
      <c r="J157" s="30">
        <f t="shared" si="22"/>
        <v>310</v>
      </c>
      <c r="K157" s="195"/>
      <c r="L157" s="27">
        <f t="shared" si="21"/>
        <v>350.13690273173387</v>
      </c>
    </row>
    <row r="158" spans="1:12" x14ac:dyDescent="0.45">
      <c r="A158" s="314"/>
      <c r="B158" s="5" t="s">
        <v>10</v>
      </c>
      <c r="C158" s="2">
        <v>404</v>
      </c>
      <c r="D158" s="1">
        <v>32689</v>
      </c>
      <c r="E158" s="1">
        <v>48097</v>
      </c>
      <c r="F158" s="41">
        <f t="shared" si="17"/>
        <v>15.407999999999999</v>
      </c>
      <c r="G158" s="22">
        <f t="shared" si="18"/>
        <v>60.623002835332606</v>
      </c>
      <c r="H158" s="45">
        <f t="shared" si="19"/>
        <v>16.085214236641164</v>
      </c>
      <c r="I158" s="42">
        <f t="shared" si="20"/>
        <v>76.708217071973763</v>
      </c>
      <c r="J158" s="30">
        <f t="shared" si="22"/>
        <v>310</v>
      </c>
      <c r="K158" s="195">
        <v>10</v>
      </c>
      <c r="L158" s="27">
        <f>SUM(I158,J158,K158)</f>
        <v>396.70821707197376</v>
      </c>
    </row>
    <row r="159" spans="1:12" x14ac:dyDescent="0.45">
      <c r="A159" s="314"/>
      <c r="B159" s="107" t="s">
        <v>10</v>
      </c>
      <c r="C159" s="2">
        <v>501</v>
      </c>
      <c r="D159" s="1">
        <v>82254</v>
      </c>
      <c r="E159" s="1">
        <v>92222</v>
      </c>
      <c r="F159" s="41">
        <f>(E159-D159)*0.01</f>
        <v>99.68</v>
      </c>
      <c r="G159" s="22">
        <f t="shared" si="18"/>
        <v>392.19242748091608</v>
      </c>
      <c r="H159" s="45">
        <f t="shared" si="19"/>
        <v>16.085214236641164</v>
      </c>
      <c r="I159" s="42">
        <f t="shared" si="20"/>
        <v>408.27764171755723</v>
      </c>
      <c r="J159" s="30">
        <f t="shared" si="22"/>
        <v>310</v>
      </c>
      <c r="K159" s="239">
        <v>-300</v>
      </c>
      <c r="L159" s="27">
        <f>SUM(I159,J159,K159)</f>
        <v>418.27764171755723</v>
      </c>
    </row>
    <row r="160" spans="1:12" x14ac:dyDescent="0.45">
      <c r="A160" s="314"/>
      <c r="B160" s="5" t="s">
        <v>10</v>
      </c>
      <c r="C160" s="2">
        <v>502</v>
      </c>
      <c r="D160" s="1">
        <v>2686520</v>
      </c>
      <c r="E160" s="1">
        <v>2710339</v>
      </c>
      <c r="F160" s="41">
        <f t="shared" ref="F160:F182" si="23">(E160-D160)*$N$1</f>
        <v>23.818999999999999</v>
      </c>
      <c r="G160" s="22">
        <f t="shared" si="18"/>
        <v>93.71620616139586</v>
      </c>
      <c r="H160" s="45">
        <f t="shared" si="19"/>
        <v>16.085214236641164</v>
      </c>
      <c r="I160" s="42">
        <f t="shared" si="20"/>
        <v>109.80142039803702</v>
      </c>
      <c r="J160" s="30">
        <f t="shared" si="22"/>
        <v>310</v>
      </c>
      <c r="K160" s="195"/>
      <c r="L160" s="27">
        <f t="shared" si="21"/>
        <v>419.80142039803701</v>
      </c>
    </row>
    <row r="161" spans="1:12" x14ac:dyDescent="0.45">
      <c r="A161" s="314"/>
      <c r="B161" s="5" t="s">
        <v>10</v>
      </c>
      <c r="C161" s="2">
        <v>503</v>
      </c>
      <c r="D161" s="1">
        <v>3703038</v>
      </c>
      <c r="E161" s="1">
        <v>3715800</v>
      </c>
      <c r="F161" s="41">
        <f t="shared" si="23"/>
        <v>12.762</v>
      </c>
      <c r="G161" s="22">
        <f t="shared" si="18"/>
        <v>50.212276881134137</v>
      </c>
      <c r="H161" s="45">
        <f t="shared" si="19"/>
        <v>16.085214236641164</v>
      </c>
      <c r="I161" s="42">
        <f t="shared" si="20"/>
        <v>66.297491117775309</v>
      </c>
      <c r="J161" s="30">
        <f t="shared" si="22"/>
        <v>310</v>
      </c>
      <c r="K161" s="195"/>
      <c r="L161" s="27">
        <f t="shared" si="21"/>
        <v>376.29749111777528</v>
      </c>
    </row>
    <row r="162" spans="1:12" x14ac:dyDescent="0.45">
      <c r="A162" s="314"/>
      <c r="B162" s="5" t="s">
        <v>10</v>
      </c>
      <c r="C162" s="2">
        <v>504</v>
      </c>
      <c r="D162" s="1">
        <v>3470531</v>
      </c>
      <c r="E162" s="1">
        <v>3501534</v>
      </c>
      <c r="F162" s="41">
        <f t="shared" si="23"/>
        <v>31.003</v>
      </c>
      <c r="G162" s="22">
        <f t="shared" si="18"/>
        <v>121.98175992366413</v>
      </c>
      <c r="H162" s="45">
        <f t="shared" si="19"/>
        <v>16.085214236641164</v>
      </c>
      <c r="I162" s="42">
        <f t="shared" si="20"/>
        <v>138.06697416030528</v>
      </c>
      <c r="J162" s="30">
        <f t="shared" si="22"/>
        <v>310</v>
      </c>
      <c r="K162" s="195"/>
      <c r="L162" s="27">
        <f t="shared" si="21"/>
        <v>448.06697416030528</v>
      </c>
    </row>
    <row r="163" spans="1:12" x14ac:dyDescent="0.45">
      <c r="A163" s="318"/>
      <c r="B163" s="5" t="s">
        <v>11</v>
      </c>
      <c r="C163" s="2">
        <v>101</v>
      </c>
      <c r="D163" s="1">
        <v>2967618</v>
      </c>
      <c r="E163" s="1">
        <v>2984341</v>
      </c>
      <c r="F163" s="41">
        <f t="shared" si="23"/>
        <v>16.722999999999999</v>
      </c>
      <c r="G163" s="22">
        <f t="shared" si="18"/>
        <v>65.796889694656485</v>
      </c>
      <c r="H163" s="45">
        <f t="shared" si="19"/>
        <v>16.085214236641164</v>
      </c>
      <c r="I163" s="42">
        <f t="shared" si="20"/>
        <v>81.88210393129765</v>
      </c>
      <c r="J163" s="30">
        <f t="shared" si="22"/>
        <v>310</v>
      </c>
      <c r="K163" s="195"/>
      <c r="L163" s="27">
        <f t="shared" si="21"/>
        <v>391.88210393129765</v>
      </c>
    </row>
    <row r="164" spans="1:12" x14ac:dyDescent="0.45">
      <c r="A164" s="318"/>
      <c r="B164" s="5" t="s">
        <v>11</v>
      </c>
      <c r="C164" s="2">
        <v>102</v>
      </c>
      <c r="D164" s="1">
        <v>2665569</v>
      </c>
      <c r="E164" s="1">
        <v>2691546</v>
      </c>
      <c r="F164" s="41">
        <f t="shared" si="23"/>
        <v>25.977</v>
      </c>
      <c r="G164" s="22">
        <f t="shared" si="18"/>
        <v>102.20688893129771</v>
      </c>
      <c r="H164" s="45">
        <f t="shared" si="19"/>
        <v>16.085214236641164</v>
      </c>
      <c r="I164" s="42">
        <f t="shared" si="20"/>
        <v>118.29210316793888</v>
      </c>
      <c r="J164" s="30">
        <f t="shared" si="22"/>
        <v>310</v>
      </c>
      <c r="K164" s="195">
        <v>10</v>
      </c>
      <c r="L164" s="27">
        <f t="shared" si="21"/>
        <v>438.29210316793888</v>
      </c>
    </row>
    <row r="165" spans="1:12" x14ac:dyDescent="0.45">
      <c r="A165" s="318"/>
      <c r="B165" s="5" t="s">
        <v>11</v>
      </c>
      <c r="C165" s="2">
        <v>103</v>
      </c>
      <c r="D165" s="1">
        <v>2352062</v>
      </c>
      <c r="E165" s="1">
        <v>2357788</v>
      </c>
      <c r="F165" s="41">
        <f t="shared" si="23"/>
        <v>5.726</v>
      </c>
      <c r="G165" s="22">
        <f t="shared" si="18"/>
        <v>22.529031297709924</v>
      </c>
      <c r="H165" s="45">
        <f t="shared" si="19"/>
        <v>16.085214236641164</v>
      </c>
      <c r="I165" s="42">
        <f t="shared" si="20"/>
        <v>38.614245534351085</v>
      </c>
      <c r="J165" s="30">
        <f t="shared" si="22"/>
        <v>310</v>
      </c>
      <c r="K165" s="195"/>
      <c r="L165" s="27">
        <f t="shared" si="21"/>
        <v>348.61424553435108</v>
      </c>
    </row>
    <row r="166" spans="1:12" x14ac:dyDescent="0.45">
      <c r="A166" s="318"/>
      <c r="B166" s="5" t="s">
        <v>11</v>
      </c>
      <c r="C166" s="2">
        <v>104</v>
      </c>
      <c r="D166" s="1">
        <v>2708074</v>
      </c>
      <c r="E166" s="1">
        <v>2733513</v>
      </c>
      <c r="F166" s="41">
        <f t="shared" si="23"/>
        <v>25.439</v>
      </c>
      <c r="G166" s="22">
        <f t="shared" si="18"/>
        <v>100.09012001090512</v>
      </c>
      <c r="H166" s="45">
        <f t="shared" si="19"/>
        <v>16.085214236641164</v>
      </c>
      <c r="I166" s="42">
        <f t="shared" si="20"/>
        <v>116.17533424754629</v>
      </c>
      <c r="J166" s="30">
        <f t="shared" si="22"/>
        <v>310</v>
      </c>
      <c r="K166" s="195">
        <v>10</v>
      </c>
      <c r="L166" s="27">
        <f t="shared" si="21"/>
        <v>436.17533424754629</v>
      </c>
    </row>
    <row r="167" spans="1:12" x14ac:dyDescent="0.45">
      <c r="A167" s="318"/>
      <c r="B167" s="5" t="s">
        <v>11</v>
      </c>
      <c r="C167" s="2">
        <v>201</v>
      </c>
      <c r="D167" s="1">
        <v>2048392</v>
      </c>
      <c r="E167" s="1">
        <v>2059445</v>
      </c>
      <c r="F167" s="41">
        <f t="shared" si="23"/>
        <v>11.053000000000001</v>
      </c>
      <c r="G167" s="22">
        <f t="shared" si="18"/>
        <v>43.488191221374052</v>
      </c>
      <c r="H167" s="45">
        <f t="shared" si="19"/>
        <v>16.085214236641164</v>
      </c>
      <c r="I167" s="42">
        <f t="shared" si="20"/>
        <v>59.573405458015216</v>
      </c>
      <c r="J167" s="30">
        <f t="shared" si="22"/>
        <v>310</v>
      </c>
      <c r="K167" s="195"/>
      <c r="L167" s="27">
        <f t="shared" si="21"/>
        <v>369.5734054580152</v>
      </c>
    </row>
    <row r="168" spans="1:12" x14ac:dyDescent="0.45">
      <c r="A168" s="318"/>
      <c r="B168" s="5" t="s">
        <v>11</v>
      </c>
      <c r="C168" s="2">
        <v>202</v>
      </c>
      <c r="D168" s="1">
        <v>43948</v>
      </c>
      <c r="E168" s="1">
        <v>77045</v>
      </c>
      <c r="F168" s="41">
        <f t="shared" si="23"/>
        <v>33.097000000000001</v>
      </c>
      <c r="G168" s="22">
        <f t="shared" si="18"/>
        <v>130.22063375136315</v>
      </c>
      <c r="H168" s="45">
        <f t="shared" si="19"/>
        <v>16.085214236641164</v>
      </c>
      <c r="I168" s="42">
        <f t="shared" si="20"/>
        <v>146.3058479880043</v>
      </c>
      <c r="J168" s="30">
        <f t="shared" si="22"/>
        <v>310</v>
      </c>
      <c r="K168" s="195">
        <v>10</v>
      </c>
      <c r="L168" s="27">
        <f t="shared" si="21"/>
        <v>466.3058479880043</v>
      </c>
    </row>
    <row r="169" spans="1:12" x14ac:dyDescent="0.45">
      <c r="A169" s="318"/>
      <c r="B169" s="5" t="s">
        <v>11</v>
      </c>
      <c r="C169" s="2">
        <v>203</v>
      </c>
      <c r="D169" s="1">
        <v>2687412</v>
      </c>
      <c r="E169" s="1">
        <v>2696346</v>
      </c>
      <c r="F169" s="41">
        <f t="shared" si="23"/>
        <v>8.9340000000000011</v>
      </c>
      <c r="G169" s="22">
        <f t="shared" si="18"/>
        <v>35.15095452562705</v>
      </c>
      <c r="H169" s="45">
        <f t="shared" si="19"/>
        <v>16.085214236641164</v>
      </c>
      <c r="I169" s="42">
        <f t="shared" si="20"/>
        <v>51.236168762268214</v>
      </c>
      <c r="J169" s="30">
        <f t="shared" si="22"/>
        <v>310</v>
      </c>
      <c r="K169" s="195"/>
      <c r="L169" s="27">
        <f t="shared" si="21"/>
        <v>361.23616876226822</v>
      </c>
    </row>
    <row r="170" spans="1:12" x14ac:dyDescent="0.45">
      <c r="A170" s="318"/>
      <c r="B170" s="5" t="s">
        <v>11</v>
      </c>
      <c r="C170" s="2">
        <v>204</v>
      </c>
      <c r="D170" s="1">
        <v>2286108</v>
      </c>
      <c r="E170" s="1">
        <v>2298659</v>
      </c>
      <c r="F170" s="41">
        <f t="shared" si="23"/>
        <v>12.551</v>
      </c>
      <c r="G170" s="22">
        <f t="shared" si="18"/>
        <v>49.382094274809162</v>
      </c>
      <c r="H170" s="45">
        <f t="shared" si="19"/>
        <v>16.085214236641164</v>
      </c>
      <c r="I170" s="42">
        <f t="shared" si="20"/>
        <v>65.467308511450327</v>
      </c>
      <c r="J170" s="30">
        <f t="shared" si="22"/>
        <v>310</v>
      </c>
      <c r="K170" s="195"/>
      <c r="L170" s="27">
        <f t="shared" si="21"/>
        <v>375.46730851145031</v>
      </c>
    </row>
    <row r="171" spans="1:12" x14ac:dyDescent="0.45">
      <c r="A171" s="318"/>
      <c r="B171" s="5" t="s">
        <v>11</v>
      </c>
      <c r="C171" s="2">
        <v>301</v>
      </c>
      <c r="D171" s="1">
        <v>3337539</v>
      </c>
      <c r="E171" s="1">
        <v>3348655</v>
      </c>
      <c r="F171" s="41">
        <f t="shared" si="23"/>
        <v>11.116</v>
      </c>
      <c r="G171" s="22">
        <f t="shared" si="18"/>
        <v>43.736065648854961</v>
      </c>
      <c r="H171" s="45">
        <f t="shared" si="19"/>
        <v>16.085214236641164</v>
      </c>
      <c r="I171" s="42">
        <f t="shared" si="20"/>
        <v>59.821279885496125</v>
      </c>
      <c r="J171" s="30">
        <f t="shared" si="22"/>
        <v>310</v>
      </c>
      <c r="K171" s="195"/>
      <c r="L171" s="27">
        <f t="shared" si="21"/>
        <v>369.8212798854961</v>
      </c>
    </row>
    <row r="172" spans="1:12" x14ac:dyDescent="0.45">
      <c r="A172" s="318"/>
      <c r="B172" s="5" t="s">
        <v>11</v>
      </c>
      <c r="C172" s="2">
        <v>302</v>
      </c>
      <c r="D172" s="1">
        <v>2651504</v>
      </c>
      <c r="E172" s="1">
        <v>2663034</v>
      </c>
      <c r="F172" s="41">
        <f t="shared" si="23"/>
        <v>11.53</v>
      </c>
      <c r="G172" s="22">
        <f t="shared" si="18"/>
        <v>45.364954743729548</v>
      </c>
      <c r="H172" s="45">
        <f t="shared" si="19"/>
        <v>16.085214236641164</v>
      </c>
      <c r="I172" s="42">
        <f t="shared" si="20"/>
        <v>61.450168980370712</v>
      </c>
      <c r="J172" s="30">
        <f t="shared" si="22"/>
        <v>310</v>
      </c>
      <c r="K172" s="195">
        <v>10</v>
      </c>
      <c r="L172" s="27">
        <f t="shared" si="21"/>
        <v>381.45016898037073</v>
      </c>
    </row>
    <row r="173" spans="1:12" x14ac:dyDescent="0.45">
      <c r="A173" s="318"/>
      <c r="B173" s="5" t="s">
        <v>11</v>
      </c>
      <c r="C173" s="2">
        <v>303</v>
      </c>
      <c r="D173" s="1">
        <v>2433324</v>
      </c>
      <c r="E173" s="1">
        <v>2440108</v>
      </c>
      <c r="F173" s="41">
        <f t="shared" si="23"/>
        <v>6.7839999999999998</v>
      </c>
      <c r="G173" s="22">
        <f t="shared" si="18"/>
        <v>26.691747873500546</v>
      </c>
      <c r="H173" s="45">
        <f t="shared" si="19"/>
        <v>16.085214236641164</v>
      </c>
      <c r="I173" s="42">
        <f t="shared" si="20"/>
        <v>42.77696211014171</v>
      </c>
      <c r="J173" s="30">
        <f t="shared" si="22"/>
        <v>310</v>
      </c>
      <c r="K173" s="195"/>
      <c r="L173" s="27">
        <f t="shared" si="21"/>
        <v>352.77696211014171</v>
      </c>
    </row>
    <row r="174" spans="1:12" x14ac:dyDescent="0.45">
      <c r="A174" s="318"/>
      <c r="B174" s="5" t="s">
        <v>11</v>
      </c>
      <c r="C174" s="2">
        <v>304</v>
      </c>
      <c r="D174" s="1">
        <v>5250427</v>
      </c>
      <c r="E174" s="1">
        <v>5269351</v>
      </c>
      <c r="F174" s="41">
        <f t="shared" si="23"/>
        <v>18.923999999999999</v>
      </c>
      <c r="G174" s="22">
        <f t="shared" si="18"/>
        <v>74.456756597600872</v>
      </c>
      <c r="H174" s="45">
        <f t="shared" si="19"/>
        <v>16.085214236641164</v>
      </c>
      <c r="I174" s="42">
        <f t="shared" si="20"/>
        <v>90.541970834242036</v>
      </c>
      <c r="J174" s="30">
        <f t="shared" si="22"/>
        <v>310</v>
      </c>
      <c r="K174" s="195"/>
      <c r="L174" s="27">
        <f t="shared" si="21"/>
        <v>400.54197083424202</v>
      </c>
    </row>
    <row r="175" spans="1:12" x14ac:dyDescent="0.45">
      <c r="A175" s="318"/>
      <c r="B175" s="5" t="s">
        <v>11</v>
      </c>
      <c r="C175" s="2">
        <v>401</v>
      </c>
      <c r="D175" s="1">
        <v>3493131</v>
      </c>
      <c r="E175" s="1">
        <v>3496113</v>
      </c>
      <c r="F175" s="41">
        <f t="shared" si="23"/>
        <v>2.9820000000000002</v>
      </c>
      <c r="G175" s="22">
        <f t="shared" si="18"/>
        <v>11.73272290076336</v>
      </c>
      <c r="H175" s="45">
        <f t="shared" si="19"/>
        <v>16.085214236641164</v>
      </c>
      <c r="I175" s="42">
        <f t="shared" si="20"/>
        <v>27.817937137404524</v>
      </c>
      <c r="J175" s="30">
        <f t="shared" si="22"/>
        <v>310</v>
      </c>
      <c r="K175" s="195"/>
      <c r="L175" s="27">
        <f t="shared" si="21"/>
        <v>337.8179371374045</v>
      </c>
    </row>
    <row r="176" spans="1:12" x14ac:dyDescent="0.45">
      <c r="A176" s="318"/>
      <c r="B176" s="5" t="s">
        <v>11</v>
      </c>
      <c r="C176" s="2">
        <v>402</v>
      </c>
      <c r="D176" s="1">
        <v>1970406</v>
      </c>
      <c r="E176" s="1">
        <v>1978799</v>
      </c>
      <c r="F176" s="41">
        <f t="shared" si="23"/>
        <v>8.3930000000000007</v>
      </c>
      <c r="G176" s="22">
        <f t="shared" si="18"/>
        <v>33.022382061068704</v>
      </c>
      <c r="H176" s="45">
        <f t="shared" si="19"/>
        <v>16.085214236641164</v>
      </c>
      <c r="I176" s="42">
        <f t="shared" si="20"/>
        <v>49.107596297709868</v>
      </c>
      <c r="J176" s="30">
        <f t="shared" si="22"/>
        <v>310</v>
      </c>
      <c r="K176" s="195"/>
      <c r="L176" s="27">
        <f t="shared" si="21"/>
        <v>359.10759629770985</v>
      </c>
    </row>
    <row r="177" spans="1:12" x14ac:dyDescent="0.45">
      <c r="A177" s="318"/>
      <c r="B177" s="5" t="s">
        <v>11</v>
      </c>
      <c r="C177" s="2">
        <v>403</v>
      </c>
      <c r="D177" s="1">
        <v>3169165</v>
      </c>
      <c r="E177" s="1">
        <v>3185879</v>
      </c>
      <c r="F177" s="41">
        <f t="shared" si="23"/>
        <v>16.713999999999999</v>
      </c>
      <c r="G177" s="22">
        <f t="shared" si="18"/>
        <v>65.761479062159211</v>
      </c>
      <c r="H177" s="45">
        <f t="shared" si="19"/>
        <v>16.085214236641164</v>
      </c>
      <c r="I177" s="42">
        <f t="shared" si="20"/>
        <v>81.846693298800375</v>
      </c>
      <c r="J177" s="30">
        <f t="shared" si="22"/>
        <v>310</v>
      </c>
      <c r="K177" s="195"/>
      <c r="L177" s="27">
        <f t="shared" si="21"/>
        <v>391.84669329880035</v>
      </c>
    </row>
    <row r="178" spans="1:12" x14ac:dyDescent="0.45">
      <c r="A178" s="318"/>
      <c r="B178" s="5" t="s">
        <v>11</v>
      </c>
      <c r="C178" s="2">
        <v>404</v>
      </c>
      <c r="D178" s="1">
        <v>4120735</v>
      </c>
      <c r="E178" s="1">
        <v>4131813</v>
      </c>
      <c r="F178" s="41">
        <f t="shared" si="23"/>
        <v>11.077999999999999</v>
      </c>
      <c r="G178" s="22">
        <f t="shared" si="18"/>
        <v>43.58655408942203</v>
      </c>
      <c r="H178" s="45">
        <f t="shared" si="19"/>
        <v>16.085214236641164</v>
      </c>
      <c r="I178" s="42">
        <f t="shared" si="20"/>
        <v>59.671768326063194</v>
      </c>
      <c r="J178" s="30">
        <f t="shared" si="22"/>
        <v>310</v>
      </c>
      <c r="K178" s="195">
        <v>10</v>
      </c>
      <c r="L178" s="27">
        <f t="shared" si="21"/>
        <v>379.67176832606322</v>
      </c>
    </row>
    <row r="179" spans="1:12" x14ac:dyDescent="0.45">
      <c r="A179" s="318"/>
      <c r="B179" s="5" t="s">
        <v>11</v>
      </c>
      <c r="C179" s="2">
        <v>501</v>
      </c>
      <c r="D179" s="1">
        <v>3749500</v>
      </c>
      <c r="E179" s="1">
        <v>3772687</v>
      </c>
      <c r="F179" s="41">
        <f t="shared" si="23"/>
        <v>23.187000000000001</v>
      </c>
      <c r="G179" s="22">
        <f t="shared" si="18"/>
        <v>91.229592857142862</v>
      </c>
      <c r="H179" s="45">
        <f t="shared" si="19"/>
        <v>16.085214236641164</v>
      </c>
      <c r="I179" s="42">
        <f t="shared" si="20"/>
        <v>107.31480709378403</v>
      </c>
      <c r="J179" s="30">
        <f t="shared" si="22"/>
        <v>310</v>
      </c>
      <c r="K179" s="195">
        <f>10+100</f>
        <v>110</v>
      </c>
      <c r="L179" s="27">
        <f t="shared" si="21"/>
        <v>527.314807093784</v>
      </c>
    </row>
    <row r="180" spans="1:12" x14ac:dyDescent="0.45">
      <c r="A180" s="318"/>
      <c r="B180" s="5" t="s">
        <v>11</v>
      </c>
      <c r="C180" s="2">
        <v>502</v>
      </c>
      <c r="D180" s="1">
        <v>3852317</v>
      </c>
      <c r="E180" s="1">
        <v>3867173</v>
      </c>
      <c r="F180" s="41">
        <f t="shared" si="23"/>
        <v>14.856</v>
      </c>
      <c r="G180" s="22">
        <f t="shared" si="18"/>
        <v>58.451150708833154</v>
      </c>
      <c r="H180" s="45">
        <f t="shared" si="19"/>
        <v>16.085214236641164</v>
      </c>
      <c r="I180" s="42">
        <f t="shared" si="20"/>
        <v>74.536364945474318</v>
      </c>
      <c r="J180" s="30">
        <f t="shared" si="22"/>
        <v>310</v>
      </c>
      <c r="K180" s="195"/>
      <c r="L180" s="27">
        <f t="shared" si="21"/>
        <v>384.5363649454743</v>
      </c>
    </row>
    <row r="181" spans="1:12" x14ac:dyDescent="0.45">
      <c r="A181" s="318"/>
      <c r="B181" s="5" t="s">
        <v>11</v>
      </c>
      <c r="C181" s="2">
        <v>503</v>
      </c>
      <c r="D181" s="1">
        <v>2318257</v>
      </c>
      <c r="E181" s="1">
        <v>2338711</v>
      </c>
      <c r="F181" s="41">
        <f t="shared" si="23"/>
        <v>20.454000000000001</v>
      </c>
      <c r="G181" s="22">
        <f t="shared" si="18"/>
        <v>80.476564122137404</v>
      </c>
      <c r="H181" s="45">
        <f>MMULT($H$1,1/180)</f>
        <v>16.085214236641164</v>
      </c>
      <c r="I181" s="42">
        <f t="shared" si="20"/>
        <v>96.561778358778568</v>
      </c>
      <c r="J181" s="30">
        <f t="shared" si="22"/>
        <v>310</v>
      </c>
      <c r="K181" s="195"/>
      <c r="L181" s="27">
        <f t="shared" si="21"/>
        <v>406.56177835877855</v>
      </c>
    </row>
    <row r="182" spans="1:12" x14ac:dyDescent="0.45">
      <c r="A182" s="318"/>
      <c r="B182" s="5" t="s">
        <v>11</v>
      </c>
      <c r="C182" s="2">
        <v>504</v>
      </c>
      <c r="D182" s="1">
        <v>3155097</v>
      </c>
      <c r="E182" s="1">
        <v>3176309</v>
      </c>
      <c r="F182" s="41">
        <f t="shared" si="23"/>
        <v>21.212</v>
      </c>
      <c r="G182" s="22">
        <f t="shared" si="18"/>
        <v>83.458926281352234</v>
      </c>
      <c r="H182" s="45">
        <f t="shared" si="19"/>
        <v>16.085214236641164</v>
      </c>
      <c r="I182" s="42">
        <f t="shared" si="20"/>
        <v>99.544140517993398</v>
      </c>
      <c r="J182" s="30">
        <f t="shared" si="22"/>
        <v>310</v>
      </c>
      <c r="K182" s="195"/>
      <c r="L182" s="27">
        <f t="shared" si="21"/>
        <v>409.54414051799341</v>
      </c>
    </row>
    <row r="183" spans="1:12" ht="15" customHeight="1" x14ac:dyDescent="0.45">
      <c r="F183" s="27">
        <f>SUM(F3:F182)</f>
        <v>2932.1180000000027</v>
      </c>
      <c r="G183" s="22">
        <f t="shared" si="18"/>
        <v>11536.46143740459</v>
      </c>
      <c r="H183" s="45">
        <f>SUM(H3:H182)</f>
        <v>2895.3385625954074</v>
      </c>
      <c r="I183" s="42">
        <f>SUM(G183,H183)</f>
        <v>14431.799999999997</v>
      </c>
      <c r="K183" s="161" t="s">
        <v>12</v>
      </c>
    </row>
    <row r="184" spans="1:12" ht="15" customHeight="1" x14ac:dyDescent="0.45">
      <c r="F184" t="s">
        <v>12</v>
      </c>
      <c r="I184" s="109">
        <f>SUM(-E190,I1)</f>
        <v>0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8293.2000000000007</v>
      </c>
      <c r="F188" s="93">
        <v>2080</v>
      </c>
      <c r="G188" s="92">
        <f>MMULT(E188,1/F188)</f>
        <v>3.9871153846153851</v>
      </c>
      <c r="H188" s="20"/>
    </row>
    <row r="189" spans="1:12" ht="15" customHeight="1" thickBot="1" x14ac:dyDescent="0.5">
      <c r="D189" s="46">
        <v>6244619</v>
      </c>
      <c r="E189" s="88">
        <v>6138.6</v>
      </c>
      <c r="F189" s="94">
        <v>1588</v>
      </c>
      <c r="G189" s="92">
        <f>MMULT(E189,1/F189)</f>
        <v>3.8656171284634762</v>
      </c>
      <c r="H189" s="152"/>
    </row>
    <row r="190" spans="1:12" ht="15" customHeight="1" thickBot="1" x14ac:dyDescent="0.5">
      <c r="D190" s="6" t="s">
        <v>33</v>
      </c>
      <c r="E190" s="48">
        <f>SUM(E188:E189)</f>
        <v>14431.800000000001</v>
      </c>
      <c r="F190" s="95">
        <f>SUM(F188:F189)</f>
        <v>3668</v>
      </c>
      <c r="H190" s="61"/>
    </row>
    <row r="191" spans="1:12" ht="15" customHeight="1" x14ac:dyDescent="0.45">
      <c r="H191" s="61"/>
    </row>
    <row r="192" spans="1:12" ht="15" customHeight="1" x14ac:dyDescent="0.45">
      <c r="D192" s="319" t="s">
        <v>69</v>
      </c>
      <c r="E192" s="319"/>
      <c r="F192" s="49">
        <f>SUM(F190)</f>
        <v>3668</v>
      </c>
      <c r="G192" s="41">
        <f>SUM(I192)</f>
        <v>3.9345147219193026</v>
      </c>
      <c r="I192" s="157" cm="1">
        <f t="array" ref="I192">MMULT(E190,1/F190)</f>
        <v>3.9345147219193026</v>
      </c>
    </row>
    <row r="193" spans="4:8" ht="15" customHeight="1" x14ac:dyDescent="0.45">
      <c r="D193" s="320" t="s">
        <v>271</v>
      </c>
      <c r="E193" s="321"/>
      <c r="F193" s="49">
        <f>SUM(F183)</f>
        <v>2932.1180000000027</v>
      </c>
      <c r="G193" s="150">
        <f>MMULT(F193,G192)</f>
        <v>11536.461437404592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735.88199999999733</v>
      </c>
      <c r="G194" s="151">
        <f>MMULT(F194,G192)</f>
        <v>2895.3385625954097</v>
      </c>
      <c r="H194" s="61"/>
    </row>
    <row r="195" spans="4:8" ht="15" customHeight="1" thickBot="1" x14ac:dyDescent="0.5">
      <c r="F195" s="7"/>
      <c r="G195" s="48">
        <f>SUM(G193:G194)</f>
        <v>14431.800000000003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99.68</v>
      </c>
      <c r="G198" s="20">
        <f>MAX(I3:I182)</f>
        <v>408.27764171755723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16.085214236641164</v>
      </c>
    </row>
    <row r="200" spans="4:8" ht="15" customHeight="1" x14ac:dyDescent="0.45">
      <c r="D200" t="s">
        <v>265</v>
      </c>
      <c r="F200" s="92">
        <f>AVERAGE(F3:F182)</f>
        <v>16.289544444444459</v>
      </c>
      <c r="G200" s="92">
        <f>AVERAGE(G3:G182)</f>
        <v>64.091452430025456</v>
      </c>
    </row>
    <row r="201" spans="4:8" ht="15" customHeight="1" x14ac:dyDescent="0.45">
      <c r="D201" t="s">
        <v>273</v>
      </c>
      <c r="F201" s="92">
        <f>AVERAGE(F199,F198)</f>
        <v>49.84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  <mergeCell ref="A63:A82"/>
    <mergeCell ref="D1:E1"/>
    <mergeCell ref="I1:J1"/>
    <mergeCell ref="A3:A22"/>
    <mergeCell ref="A23:A42"/>
    <mergeCell ref="A43:A62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7DB3B-30FC-4DAD-8D93-D22CDC3B4220}">
  <dimension ref="A1:N21"/>
  <sheetViews>
    <sheetView workbookViewId="0">
      <selection activeCell="I15" sqref="I15:J15"/>
    </sheetView>
  </sheetViews>
  <sheetFormatPr baseColWidth="10" defaultRowHeight="14.25" x14ac:dyDescent="0.45"/>
  <cols>
    <col min="1" max="1" width="3.6640625" customWidth="1"/>
    <col min="2" max="2" width="4.265625" customWidth="1"/>
    <col min="3" max="3" width="26" customWidth="1"/>
    <col min="5" max="5" width="12.86328125" customWidth="1"/>
    <col min="6" max="6" width="6.1328125" bestFit="1" customWidth="1"/>
    <col min="8" max="8" width="13.1328125" customWidth="1"/>
    <col min="9" max="10" width="9.1328125" customWidth="1"/>
    <col min="11" max="11" width="4.3984375" customWidth="1"/>
    <col min="13" max="13" width="24.265625" bestFit="1" customWidth="1"/>
    <col min="14" max="14" width="14.796875" customWidth="1"/>
  </cols>
  <sheetData>
    <row r="1" spans="1:14" x14ac:dyDescent="0.45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</row>
    <row r="2" spans="1:14" x14ac:dyDescent="0.45">
      <c r="A2" s="180"/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</row>
    <row r="3" spans="1:14" ht="19.5" x14ac:dyDescent="0.45">
      <c r="A3" s="180"/>
      <c r="B3" s="248"/>
      <c r="C3" s="333" t="s">
        <v>346</v>
      </c>
      <c r="D3" s="333"/>
      <c r="E3" s="333"/>
      <c r="F3" s="333"/>
      <c r="G3" s="333"/>
      <c r="H3" s="333"/>
      <c r="I3" s="333"/>
      <c r="J3" s="333"/>
      <c r="K3" s="249"/>
      <c r="L3" s="180"/>
      <c r="M3" s="180"/>
    </row>
    <row r="4" spans="1:14" ht="15" thickBot="1" x14ac:dyDescent="0.5">
      <c r="A4" s="180"/>
      <c r="B4" s="250"/>
      <c r="C4" s="251"/>
      <c r="D4" s="251"/>
      <c r="E4" s="251"/>
      <c r="F4" s="251"/>
      <c r="G4" s="251"/>
      <c r="H4" s="251"/>
      <c r="I4" s="251"/>
      <c r="J4" s="251"/>
      <c r="K4" s="252"/>
      <c r="L4" s="180"/>
      <c r="M4" s="180"/>
    </row>
    <row r="5" spans="1:14" ht="15" thickBot="1" x14ac:dyDescent="0.5">
      <c r="A5" s="180"/>
      <c r="B5" s="250"/>
      <c r="C5" s="251" t="s">
        <v>297</v>
      </c>
      <c r="D5" s="251"/>
      <c r="E5" s="251"/>
      <c r="F5" s="251"/>
      <c r="G5" s="251"/>
      <c r="H5" s="253" t="s">
        <v>304</v>
      </c>
      <c r="I5" s="327">
        <v>45658</v>
      </c>
      <c r="J5" s="328"/>
      <c r="K5" s="252"/>
      <c r="L5" s="180"/>
      <c r="M5" s="180"/>
    </row>
    <row r="6" spans="1:14" ht="15" thickBot="1" x14ac:dyDescent="0.5">
      <c r="A6" s="180"/>
      <c r="B6" s="250"/>
      <c r="C6" s="329" t="s">
        <v>302</v>
      </c>
      <c r="D6" s="329"/>
      <c r="E6" s="251"/>
      <c r="F6" s="251"/>
      <c r="G6" s="251"/>
      <c r="H6" s="254" t="s">
        <v>12</v>
      </c>
      <c r="I6" s="255" t="s">
        <v>300</v>
      </c>
      <c r="J6" s="256" t="s">
        <v>301</v>
      </c>
      <c r="K6" s="252"/>
      <c r="L6" s="180"/>
      <c r="M6" s="180"/>
    </row>
    <row r="7" spans="1:14" ht="15.75" thickBot="1" x14ac:dyDescent="0.5">
      <c r="A7" s="180"/>
      <c r="B7" s="250"/>
      <c r="C7" s="329" t="s">
        <v>299</v>
      </c>
      <c r="D7" s="329"/>
      <c r="E7" s="251"/>
      <c r="F7" s="251"/>
      <c r="G7" s="251"/>
      <c r="H7" s="257" t="s">
        <v>12</v>
      </c>
      <c r="I7" s="258">
        <v>1</v>
      </c>
      <c r="J7" s="259" t="s">
        <v>362</v>
      </c>
      <c r="K7" s="252"/>
      <c r="L7" s="180"/>
      <c r="M7" s="180"/>
    </row>
    <row r="8" spans="1:14" ht="14.65" x14ac:dyDescent="0.45">
      <c r="A8" s="180"/>
      <c r="B8" s="250"/>
      <c r="C8" s="329" t="s">
        <v>298</v>
      </c>
      <c r="D8" s="329"/>
      <c r="E8" s="251"/>
      <c r="F8" s="251"/>
      <c r="G8" s="251"/>
      <c r="H8" s="251"/>
      <c r="I8" s="251"/>
      <c r="J8" s="251"/>
      <c r="K8" s="252"/>
      <c r="L8" s="180"/>
      <c r="M8" s="180"/>
    </row>
    <row r="9" spans="1:14" ht="14.65" x14ac:dyDescent="0.45">
      <c r="A9" s="180"/>
      <c r="B9" s="250"/>
      <c r="C9" s="251"/>
      <c r="D9" s="251"/>
      <c r="E9" s="251"/>
      <c r="F9" s="251"/>
      <c r="G9" s="251"/>
      <c r="H9" s="251"/>
      <c r="I9" s="251"/>
      <c r="J9" s="251"/>
      <c r="K9" s="252"/>
      <c r="L9" s="180"/>
      <c r="M9" s="180"/>
    </row>
    <row r="10" spans="1:14" ht="14.65" x14ac:dyDescent="0.45">
      <c r="A10" s="180"/>
      <c r="B10" s="250"/>
      <c r="C10" s="330" t="s">
        <v>303</v>
      </c>
      <c r="D10" s="331"/>
      <c r="E10" s="332"/>
      <c r="F10" s="251"/>
      <c r="G10" s="251"/>
      <c r="H10" s="251"/>
      <c r="I10" s="251"/>
      <c r="J10" s="251"/>
      <c r="K10" s="252"/>
      <c r="L10" s="180"/>
      <c r="M10" s="180"/>
    </row>
    <row r="11" spans="1:14" ht="14.65" x14ac:dyDescent="0.45">
      <c r="A11" s="180"/>
      <c r="B11" s="250"/>
      <c r="C11" s="334" t="s">
        <v>356</v>
      </c>
      <c r="D11" s="335"/>
      <c r="E11" s="336"/>
      <c r="F11" s="251"/>
      <c r="G11" s="326" t="s">
        <v>340</v>
      </c>
      <c r="H11" s="326"/>
      <c r="I11" s="326" t="s">
        <v>341</v>
      </c>
      <c r="J11" s="326"/>
      <c r="K11" s="252"/>
      <c r="L11" s="180"/>
      <c r="M11" s="180"/>
    </row>
    <row r="12" spans="1:14" ht="15.4" customHeight="1" x14ac:dyDescent="0.45">
      <c r="A12" s="180"/>
      <c r="B12" s="250"/>
      <c r="C12" s="334"/>
      <c r="D12" s="335"/>
      <c r="E12" s="336"/>
      <c r="F12" s="251"/>
      <c r="G12" s="343" t="s">
        <v>337</v>
      </c>
      <c r="H12" s="343"/>
      <c r="I12" s="325">
        <v>290</v>
      </c>
      <c r="J12" s="325"/>
      <c r="K12" s="252"/>
      <c r="L12" s="180"/>
      <c r="M12" s="180"/>
    </row>
    <row r="13" spans="1:14" ht="15.4" customHeight="1" x14ac:dyDescent="0.45">
      <c r="A13" s="180"/>
      <c r="B13" s="250"/>
      <c r="C13" s="334"/>
      <c r="D13" s="335"/>
      <c r="E13" s="336"/>
      <c r="F13" s="251"/>
      <c r="G13" s="343" t="s">
        <v>336</v>
      </c>
      <c r="H13" s="343"/>
      <c r="I13" s="325">
        <v>20</v>
      </c>
      <c r="J13" s="325"/>
      <c r="K13" s="252"/>
      <c r="L13" s="180"/>
    </row>
    <row r="14" spans="1:14" ht="15.4" customHeight="1" x14ac:dyDescent="0.45">
      <c r="A14" s="180"/>
      <c r="B14" s="250"/>
      <c r="C14" s="334"/>
      <c r="D14" s="335"/>
      <c r="E14" s="336"/>
      <c r="F14" s="251"/>
      <c r="G14" s="343" t="s">
        <v>338</v>
      </c>
      <c r="H14" s="343"/>
      <c r="I14" s="325">
        <v>0</v>
      </c>
      <c r="J14" s="325"/>
      <c r="K14" s="252"/>
      <c r="L14" s="180"/>
      <c r="M14" s="263" t="s">
        <v>350</v>
      </c>
    </row>
    <row r="15" spans="1:14" ht="15.4" customHeight="1" x14ac:dyDescent="0.45">
      <c r="A15" s="180"/>
      <c r="B15" s="250"/>
      <c r="C15" s="334"/>
      <c r="D15" s="335"/>
      <c r="E15" s="336"/>
      <c r="F15" s="251"/>
      <c r="G15" s="343" t="s">
        <v>339</v>
      </c>
      <c r="H15" s="343"/>
      <c r="I15" s="325">
        <v>0</v>
      </c>
      <c r="J15" s="325"/>
      <c r="K15" s="252"/>
      <c r="L15" s="180"/>
      <c r="M15" s="263" t="s">
        <v>351</v>
      </c>
      <c r="N15" s="323" t="s">
        <v>355</v>
      </c>
    </row>
    <row r="16" spans="1:14" ht="15.4" customHeight="1" x14ac:dyDescent="0.45">
      <c r="A16" s="180"/>
      <c r="B16" s="250"/>
      <c r="C16" s="334"/>
      <c r="D16" s="335"/>
      <c r="E16" s="336"/>
      <c r="F16" s="251"/>
      <c r="G16" s="343" t="s">
        <v>354</v>
      </c>
      <c r="H16" s="343"/>
      <c r="I16" s="325">
        <v>0</v>
      </c>
      <c r="J16" s="325"/>
      <c r="K16" s="252"/>
      <c r="L16" s="180"/>
      <c r="M16" s="263" t="s">
        <v>352</v>
      </c>
      <c r="N16" s="324"/>
    </row>
    <row r="17" spans="1:13" ht="15.4" customHeight="1" thickBot="1" x14ac:dyDescent="0.5">
      <c r="A17" s="180"/>
      <c r="B17" s="250"/>
      <c r="C17" s="334"/>
      <c r="D17" s="335"/>
      <c r="E17" s="336"/>
      <c r="F17" s="251"/>
      <c r="G17" s="344" t="s">
        <v>345</v>
      </c>
      <c r="H17" s="344"/>
      <c r="I17" s="345">
        <v>0</v>
      </c>
      <c r="J17" s="345"/>
      <c r="K17" s="252"/>
      <c r="L17" s="180"/>
      <c r="M17" s="263" t="s">
        <v>353</v>
      </c>
    </row>
    <row r="18" spans="1:13" ht="15.4" customHeight="1" thickBot="1" x14ac:dyDescent="0.5">
      <c r="A18" s="180"/>
      <c r="B18" s="250"/>
      <c r="C18" s="337"/>
      <c r="D18" s="338"/>
      <c r="E18" s="339"/>
      <c r="F18" s="251"/>
      <c r="G18" s="348" t="s">
        <v>33</v>
      </c>
      <c r="H18" s="349"/>
      <c r="I18" s="346">
        <f>SUM(I12:J17)</f>
        <v>310</v>
      </c>
      <c r="J18" s="347"/>
      <c r="K18" s="252"/>
      <c r="L18" s="180"/>
      <c r="M18" s="180"/>
    </row>
    <row r="19" spans="1:13" ht="14.65" x14ac:dyDescent="0.45">
      <c r="A19" s="180"/>
      <c r="B19" s="260"/>
      <c r="C19" s="261"/>
      <c r="D19" s="261"/>
      <c r="E19" s="261"/>
      <c r="F19" s="261"/>
      <c r="G19" s="261"/>
      <c r="H19" s="261"/>
      <c r="I19" s="261"/>
      <c r="J19" s="261"/>
      <c r="K19" s="262"/>
      <c r="L19" s="180"/>
      <c r="M19" s="180"/>
    </row>
    <row r="20" spans="1:13" ht="42" customHeight="1" x14ac:dyDescent="0.45">
      <c r="A20" s="180"/>
      <c r="B20" s="340" t="s">
        <v>347</v>
      </c>
      <c r="C20" s="341"/>
      <c r="D20" s="341"/>
      <c r="E20" s="341"/>
      <c r="F20" s="341"/>
      <c r="G20" s="341"/>
      <c r="H20" s="341"/>
      <c r="I20" s="341"/>
      <c r="J20" s="341"/>
      <c r="K20" s="342"/>
      <c r="L20" s="180"/>
      <c r="M20" s="180"/>
    </row>
    <row r="21" spans="1:13" x14ac:dyDescent="0.45">
      <c r="A21" s="180"/>
      <c r="B21" s="180"/>
      <c r="C21" s="180"/>
      <c r="D21" s="180"/>
      <c r="F21" s="180"/>
      <c r="G21" s="180"/>
      <c r="H21" s="180"/>
      <c r="I21" s="180"/>
      <c r="J21" s="180"/>
      <c r="K21" s="180"/>
      <c r="L21" s="180"/>
      <c r="M21" s="180"/>
    </row>
  </sheetData>
  <mergeCells count="25">
    <mergeCell ref="C11:E18"/>
    <mergeCell ref="B20:K20"/>
    <mergeCell ref="G15:H15"/>
    <mergeCell ref="I15:J15"/>
    <mergeCell ref="G17:H17"/>
    <mergeCell ref="I17:J17"/>
    <mergeCell ref="G14:H14"/>
    <mergeCell ref="I14:J14"/>
    <mergeCell ref="G12:H12"/>
    <mergeCell ref="I12:J12"/>
    <mergeCell ref="G13:H13"/>
    <mergeCell ref="I13:J13"/>
    <mergeCell ref="I18:J18"/>
    <mergeCell ref="G18:H18"/>
    <mergeCell ref="G16:H16"/>
    <mergeCell ref="C6:D6"/>
    <mergeCell ref="C7:D7"/>
    <mergeCell ref="C8:D8"/>
    <mergeCell ref="C10:E10"/>
    <mergeCell ref="C3:J3"/>
    <mergeCell ref="N15:N16"/>
    <mergeCell ref="I16:J16"/>
    <mergeCell ref="G11:H11"/>
    <mergeCell ref="I11:J11"/>
    <mergeCell ref="I5:J5"/>
  </mergeCells>
  <pageMargins left="0.7" right="0.7" top="0.75" bottom="0.75" header="0.3" footer="0.3"/>
  <pageSetup scale="8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805AD-4111-46E9-AA2F-220B9CF3DB10}">
  <dimension ref="A1:O222"/>
  <sheetViews>
    <sheetView zoomScale="85" zoomScaleNormal="85" workbookViewId="0">
      <pane xSplit="1" ySplit="2" topLeftCell="B183" activePane="bottomRight" state="frozen"/>
      <selection pane="topRight" activeCell="B1" sqref="B1"/>
      <selection pane="bottomLeft" activeCell="A4" sqref="A4"/>
      <selection pane="bottomRight" activeCell="F159" sqref="F159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13348.991178458849</v>
      </c>
      <c r="H1" s="27">
        <f>SUM(G194)</f>
        <v>582.30882154115125</v>
      </c>
      <c r="I1" s="316">
        <f>SUM(G1:H1)</f>
        <v>13931.300000000001</v>
      </c>
      <c r="J1" s="317"/>
      <c r="K1" s="4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43900</v>
      </c>
      <c r="E2" s="3">
        <v>43931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28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3051833</v>
      </c>
      <c r="E3" s="1">
        <v>3064919</v>
      </c>
      <c r="F3" s="41">
        <f>(E3-D3)*$N$1</f>
        <v>13.086</v>
      </c>
      <c r="G3" s="22">
        <f>MMULT($G$1,1/$F$183)*F3</f>
        <v>53.212198423817867</v>
      </c>
      <c r="H3" s="45">
        <f>MMULT($H$1,1/180)</f>
        <v>3.2350490085619517</v>
      </c>
      <c r="I3" s="42">
        <f>SUM(G3,H3)</f>
        <v>56.447247432379818</v>
      </c>
      <c r="J3" s="30">
        <v>310</v>
      </c>
      <c r="K3" s="195"/>
      <c r="L3" s="27">
        <f>SUM(I3,J3,K3)</f>
        <v>366.44724743237981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1926650</v>
      </c>
      <c r="E4" s="1">
        <v>1937157</v>
      </c>
      <c r="F4" s="41">
        <f t="shared" ref="F4:F22" si="0">(E4-D4)*$N$1</f>
        <v>10.507</v>
      </c>
      <c r="G4" s="22">
        <f t="shared" ref="G4:G67" si="1">MMULT($G$1,1/$F$183)*F4</f>
        <v>42.725093140688848</v>
      </c>
      <c r="H4" s="45">
        <f t="shared" ref="H4:H67" si="2">MMULT($H$1,1/180)</f>
        <v>3.2350490085619517</v>
      </c>
      <c r="I4" s="42">
        <f t="shared" ref="I4:I67" si="3">SUM(G4,H4)</f>
        <v>45.9601421492508</v>
      </c>
      <c r="J4" s="30">
        <f>SUM($J$3)</f>
        <v>310</v>
      </c>
      <c r="K4" s="195"/>
      <c r="L4" s="27">
        <f t="shared" ref="L4:L67" si="4">SUM(I4,J4,K4)</f>
        <v>355.96014214925083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2849123</v>
      </c>
      <c r="E5" s="1">
        <v>2860415</v>
      </c>
      <c r="F5" s="41">
        <f t="shared" si="0"/>
        <v>11.292</v>
      </c>
      <c r="G5" s="22">
        <f t="shared" si="1"/>
        <v>45.917174430823117</v>
      </c>
      <c r="H5" s="45">
        <f t="shared" si="2"/>
        <v>3.2350490085619517</v>
      </c>
      <c r="I5" s="42">
        <f t="shared" si="3"/>
        <v>49.152223439385068</v>
      </c>
      <c r="J5" s="30">
        <f t="shared" ref="J5:J68" si="5">SUM($J$3)</f>
        <v>310</v>
      </c>
      <c r="K5" s="195">
        <v>10</v>
      </c>
      <c r="L5" s="27">
        <f t="shared" si="4"/>
        <v>369.15222343938507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2447431</v>
      </c>
      <c r="E6" s="1">
        <v>2461343</v>
      </c>
      <c r="F6" s="41">
        <f t="shared" si="0"/>
        <v>13.912000000000001</v>
      </c>
      <c r="G6" s="22">
        <f t="shared" si="1"/>
        <v>56.570999883245769</v>
      </c>
      <c r="H6" s="45">
        <f t="shared" si="2"/>
        <v>3.2350490085619517</v>
      </c>
      <c r="I6" s="42">
        <f t="shared" si="3"/>
        <v>59.80604889180772</v>
      </c>
      <c r="J6" s="30">
        <f t="shared" si="5"/>
        <v>310</v>
      </c>
      <c r="K6" s="195"/>
      <c r="L6" s="27">
        <f t="shared" si="4"/>
        <v>369.80604889180773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3575939</v>
      </c>
      <c r="E7" s="1">
        <v>3595808</v>
      </c>
      <c r="F7" s="41">
        <f t="shared" si="0"/>
        <v>19.869</v>
      </c>
      <c r="G7" s="22">
        <f t="shared" si="1"/>
        <v>80.794220577933444</v>
      </c>
      <c r="H7" s="45">
        <f t="shared" si="2"/>
        <v>3.2350490085619517</v>
      </c>
      <c r="I7" s="42">
        <f t="shared" si="3"/>
        <v>84.029269586495403</v>
      </c>
      <c r="J7" s="30">
        <f t="shared" si="5"/>
        <v>310</v>
      </c>
      <c r="K7" s="195"/>
      <c r="L7" s="27">
        <f t="shared" si="4"/>
        <v>394.02926958649539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49702</v>
      </c>
      <c r="E8" s="1">
        <v>69909</v>
      </c>
      <c r="F8" s="41">
        <f t="shared" si="0"/>
        <v>20.207000000000001</v>
      </c>
      <c r="G8" s="22">
        <f t="shared" si="1"/>
        <v>82.168645388207821</v>
      </c>
      <c r="H8" s="45">
        <f t="shared" si="2"/>
        <v>3.2350490085619517</v>
      </c>
      <c r="I8" s="42">
        <f t="shared" si="3"/>
        <v>85.403694396769779</v>
      </c>
      <c r="J8" s="30">
        <f t="shared" si="5"/>
        <v>310</v>
      </c>
      <c r="K8" s="195"/>
      <c r="L8" s="27">
        <f t="shared" si="4"/>
        <v>395.40369439676977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4767887</v>
      </c>
      <c r="E9" s="1">
        <v>4791556</v>
      </c>
      <c r="F9" s="41">
        <f t="shared" si="0"/>
        <v>23.669</v>
      </c>
      <c r="G9" s="22">
        <f t="shared" si="1"/>
        <v>96.246333829538827</v>
      </c>
      <c r="H9" s="45">
        <f t="shared" si="2"/>
        <v>3.2350490085619517</v>
      </c>
      <c r="I9" s="42">
        <f t="shared" si="3"/>
        <v>99.481382838100785</v>
      </c>
      <c r="J9" s="30">
        <f t="shared" si="5"/>
        <v>310</v>
      </c>
      <c r="K9" s="195"/>
      <c r="L9" s="27">
        <f t="shared" si="4"/>
        <v>409.48138283810079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1868153</v>
      </c>
      <c r="E10" s="1">
        <v>1881660</v>
      </c>
      <c r="F10" s="41">
        <f t="shared" si="0"/>
        <v>13.507</v>
      </c>
      <c r="G10" s="22">
        <f t="shared" si="1"/>
        <v>54.924129918272037</v>
      </c>
      <c r="H10" s="45">
        <f t="shared" si="2"/>
        <v>3.2350490085619517</v>
      </c>
      <c r="I10" s="42">
        <f t="shared" si="3"/>
        <v>58.159178926833988</v>
      </c>
      <c r="J10" s="30">
        <f t="shared" si="5"/>
        <v>310</v>
      </c>
      <c r="K10" s="195"/>
      <c r="L10" s="27">
        <f t="shared" si="4"/>
        <v>368.15917892683399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3932844</v>
      </c>
      <c r="E11" s="1">
        <v>3933703</v>
      </c>
      <c r="F11" s="41">
        <f t="shared" si="0"/>
        <v>0.85899999999999999</v>
      </c>
      <c r="G11" s="22">
        <f t="shared" si="1"/>
        <v>3.4929908639813192</v>
      </c>
      <c r="H11" s="45">
        <f t="shared" si="2"/>
        <v>3.2350490085619517</v>
      </c>
      <c r="I11" s="42">
        <f t="shared" si="3"/>
        <v>6.7280398725432704</v>
      </c>
      <c r="J11" s="30">
        <f t="shared" si="5"/>
        <v>310</v>
      </c>
      <c r="K11" s="195">
        <v>10</v>
      </c>
      <c r="L11" s="27">
        <f t="shared" si="4"/>
        <v>326.72803987254326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4184002</v>
      </c>
      <c r="E12" s="1">
        <v>4217322</v>
      </c>
      <c r="F12" s="41">
        <f t="shared" si="0"/>
        <v>33.32</v>
      </c>
      <c r="G12" s="22">
        <f t="shared" si="1"/>
        <v>135.49063514302395</v>
      </c>
      <c r="H12" s="45">
        <f t="shared" si="2"/>
        <v>3.2350490085619517</v>
      </c>
      <c r="I12" s="42">
        <f t="shared" si="3"/>
        <v>138.72568415158591</v>
      </c>
      <c r="J12" s="30">
        <f t="shared" si="5"/>
        <v>310</v>
      </c>
      <c r="K12" s="195">
        <v>10</v>
      </c>
      <c r="L12" s="27">
        <f t="shared" si="4"/>
        <v>458.72568415158594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3501697</v>
      </c>
      <c r="E13" s="1">
        <v>3520468</v>
      </c>
      <c r="F13" s="41">
        <f t="shared" si="0"/>
        <v>18.771000000000001</v>
      </c>
      <c r="G13" s="22">
        <f t="shared" si="1"/>
        <v>76.329373117338008</v>
      </c>
      <c r="H13" s="45">
        <f t="shared" si="2"/>
        <v>3.2350490085619517</v>
      </c>
      <c r="I13" s="42">
        <f t="shared" si="3"/>
        <v>79.564422125899966</v>
      </c>
      <c r="J13" s="30">
        <f t="shared" si="5"/>
        <v>310</v>
      </c>
      <c r="K13" s="195"/>
      <c r="L13" s="27">
        <f t="shared" si="4"/>
        <v>389.56442212589997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1573544</v>
      </c>
      <c r="E14" s="1">
        <v>1586916</v>
      </c>
      <c r="F14" s="41">
        <f t="shared" si="0"/>
        <v>13.372</v>
      </c>
      <c r="G14" s="22">
        <f t="shared" si="1"/>
        <v>54.375173263280793</v>
      </c>
      <c r="H14" s="45">
        <f t="shared" si="2"/>
        <v>3.2350490085619517</v>
      </c>
      <c r="I14" s="42">
        <f t="shared" si="3"/>
        <v>57.610222271842744</v>
      </c>
      <c r="J14" s="30">
        <f t="shared" si="5"/>
        <v>310</v>
      </c>
      <c r="K14" s="195"/>
      <c r="L14" s="27">
        <f t="shared" si="4"/>
        <v>367.61022227184276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2191260</v>
      </c>
      <c r="E15" s="1">
        <v>2197735</v>
      </c>
      <c r="F15" s="41">
        <f t="shared" si="0"/>
        <v>6.4750000000000005</v>
      </c>
      <c r="G15" s="22">
        <f t="shared" si="1"/>
        <v>26.329587711617048</v>
      </c>
      <c r="H15" s="45">
        <f t="shared" si="2"/>
        <v>3.2350490085619517</v>
      </c>
      <c r="I15" s="42">
        <f t="shared" si="3"/>
        <v>29.564636720178999</v>
      </c>
      <c r="J15" s="30">
        <f t="shared" si="5"/>
        <v>310</v>
      </c>
      <c r="K15" s="195"/>
      <c r="L15" s="27">
        <f t="shared" si="4"/>
        <v>339.56463672017901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5508874</v>
      </c>
      <c r="E16" s="1">
        <v>5526052</v>
      </c>
      <c r="F16" s="41">
        <f t="shared" si="0"/>
        <v>17.178000000000001</v>
      </c>
      <c r="G16" s="22">
        <f t="shared" si="1"/>
        <v>69.85168458844133</v>
      </c>
      <c r="H16" s="45">
        <f t="shared" si="2"/>
        <v>3.2350490085619517</v>
      </c>
      <c r="I16" s="42">
        <f t="shared" si="3"/>
        <v>73.086733597003288</v>
      </c>
      <c r="J16" s="30">
        <f t="shared" si="5"/>
        <v>310</v>
      </c>
      <c r="K16" s="195"/>
      <c r="L16" s="27">
        <f t="shared" si="4"/>
        <v>383.08673359700327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2940193</v>
      </c>
      <c r="E17" s="1">
        <v>2948688</v>
      </c>
      <c r="F17" s="41">
        <f t="shared" si="0"/>
        <v>8.495000000000001</v>
      </c>
      <c r="G17" s="22">
        <f t="shared" si="1"/>
        <v>34.543605808523061</v>
      </c>
      <c r="H17" s="45">
        <f t="shared" si="2"/>
        <v>3.2350490085619517</v>
      </c>
      <c r="I17" s="42">
        <f t="shared" si="3"/>
        <v>37.778654817085012</v>
      </c>
      <c r="J17" s="30">
        <f t="shared" si="5"/>
        <v>310</v>
      </c>
      <c r="K17" s="195"/>
      <c r="L17" s="27">
        <f t="shared" si="4"/>
        <v>347.778654817085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2564883</v>
      </c>
      <c r="E18" s="1">
        <v>2583554</v>
      </c>
      <c r="F18" s="41">
        <f t="shared" si="0"/>
        <v>18.670999999999999</v>
      </c>
      <c r="G18" s="22">
        <f t="shared" si="1"/>
        <v>75.922738558085229</v>
      </c>
      <c r="H18" s="45">
        <f t="shared" si="2"/>
        <v>3.2350490085619517</v>
      </c>
      <c r="I18" s="42">
        <f t="shared" si="3"/>
        <v>79.157787566647187</v>
      </c>
      <c r="J18" s="30">
        <f t="shared" si="5"/>
        <v>310</v>
      </c>
      <c r="K18" s="195"/>
      <c r="L18" s="27">
        <f t="shared" si="4"/>
        <v>389.15778756664719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3740029</v>
      </c>
      <c r="E19" s="1">
        <v>3759896</v>
      </c>
      <c r="F19" s="41">
        <f t="shared" si="0"/>
        <v>19.867000000000001</v>
      </c>
      <c r="G19" s="22">
        <f t="shared" si="1"/>
        <v>80.786087886748405</v>
      </c>
      <c r="H19" s="45">
        <f t="shared" si="2"/>
        <v>3.2350490085619517</v>
      </c>
      <c r="I19" s="42">
        <f t="shared" si="3"/>
        <v>84.021136895310363</v>
      </c>
      <c r="J19" s="30">
        <f t="shared" si="5"/>
        <v>310</v>
      </c>
      <c r="K19" s="195"/>
      <c r="L19" s="27">
        <f t="shared" si="4"/>
        <v>394.02113689531035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5551216</v>
      </c>
      <c r="E20" s="1">
        <v>5593638</v>
      </c>
      <c r="F20" s="41">
        <f t="shared" si="0"/>
        <v>42.422000000000004</v>
      </c>
      <c r="G20" s="22">
        <f t="shared" si="1"/>
        <v>172.50251272621134</v>
      </c>
      <c r="H20" s="45">
        <f t="shared" si="2"/>
        <v>3.2350490085619517</v>
      </c>
      <c r="I20" s="42">
        <f t="shared" si="3"/>
        <v>175.73756173477329</v>
      </c>
      <c r="J20" s="30">
        <f t="shared" si="5"/>
        <v>310</v>
      </c>
      <c r="K20" s="195"/>
      <c r="L20" s="27">
        <f t="shared" si="4"/>
        <v>485.73756173477329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1829050</v>
      </c>
      <c r="E21" s="1">
        <v>1845873</v>
      </c>
      <c r="F21" s="41">
        <f t="shared" si="0"/>
        <v>16.823</v>
      </c>
      <c r="G21" s="22">
        <f t="shared" si="1"/>
        <v>68.408131903093988</v>
      </c>
      <c r="H21" s="45">
        <f t="shared" si="2"/>
        <v>3.2350490085619517</v>
      </c>
      <c r="I21" s="42">
        <f t="shared" si="3"/>
        <v>71.643180911655946</v>
      </c>
      <c r="J21" s="30">
        <f t="shared" si="5"/>
        <v>310</v>
      </c>
      <c r="K21" s="195"/>
      <c r="L21" s="27">
        <f t="shared" si="4"/>
        <v>381.64318091165592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279370</v>
      </c>
      <c r="E22" s="1">
        <v>281517</v>
      </c>
      <c r="F22" s="41">
        <f t="shared" si="0"/>
        <v>2.1470000000000002</v>
      </c>
      <c r="G22" s="22">
        <f t="shared" si="1"/>
        <v>8.7304439871570363</v>
      </c>
      <c r="H22" s="45">
        <f t="shared" si="2"/>
        <v>3.2350490085619517</v>
      </c>
      <c r="I22" s="42">
        <f t="shared" si="3"/>
        <v>11.965492995718988</v>
      </c>
      <c r="J22" s="30">
        <f t="shared" si="5"/>
        <v>310</v>
      </c>
      <c r="K22" s="195"/>
      <c r="L22" s="27">
        <f t="shared" si="4"/>
        <v>321.96549299571899</v>
      </c>
    </row>
    <row r="23" spans="1:12" ht="15" customHeight="1" x14ac:dyDescent="0.45">
      <c r="A23" s="314"/>
      <c r="B23" s="5" t="s">
        <v>4</v>
      </c>
      <c r="C23" s="2">
        <v>101</v>
      </c>
      <c r="D23" s="1">
        <v>78825</v>
      </c>
      <c r="E23" s="1">
        <v>80069</v>
      </c>
      <c r="F23" s="41">
        <f>(E23-D23)*0.01</f>
        <v>12.44</v>
      </c>
      <c r="G23" s="22">
        <f t="shared" si="1"/>
        <v>50.58533917104495</v>
      </c>
      <c r="H23" s="45">
        <f t="shared" si="2"/>
        <v>3.2350490085619517</v>
      </c>
      <c r="I23" s="42">
        <f t="shared" si="3"/>
        <v>53.820388179606901</v>
      </c>
      <c r="J23" s="30">
        <f t="shared" si="5"/>
        <v>310</v>
      </c>
      <c r="K23" s="195"/>
      <c r="L23" s="27">
        <f t="shared" si="4"/>
        <v>363.82038817960688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3356912</v>
      </c>
      <c r="E24" s="1">
        <v>3380050</v>
      </c>
      <c r="F24" s="41">
        <f t="shared" ref="F24:F32" si="6">(E24-D24)*$N$1</f>
        <v>23.138000000000002</v>
      </c>
      <c r="G24" s="22">
        <f t="shared" si="1"/>
        <v>94.087104319906601</v>
      </c>
      <c r="H24" s="45">
        <f t="shared" si="2"/>
        <v>3.2350490085619517</v>
      </c>
      <c r="I24" s="42">
        <f t="shared" si="3"/>
        <v>97.322153328468559</v>
      </c>
      <c r="J24" s="30">
        <f t="shared" si="5"/>
        <v>310</v>
      </c>
      <c r="K24" s="195">
        <v>10</v>
      </c>
      <c r="L24" s="27">
        <f t="shared" si="4"/>
        <v>417.32215332846857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3380966</v>
      </c>
      <c r="E25" s="1">
        <v>3398587</v>
      </c>
      <c r="F25" s="41">
        <f t="shared" si="6"/>
        <v>17.620999999999999</v>
      </c>
      <c r="G25" s="22">
        <f t="shared" si="1"/>
        <v>71.653075685931114</v>
      </c>
      <c r="H25" s="45">
        <f t="shared" si="2"/>
        <v>3.2350490085619517</v>
      </c>
      <c r="I25" s="42">
        <f t="shared" si="3"/>
        <v>74.888124694493072</v>
      </c>
      <c r="J25" s="30">
        <f t="shared" si="5"/>
        <v>310</v>
      </c>
      <c r="K25" s="195"/>
      <c r="L25" s="27">
        <f t="shared" si="4"/>
        <v>384.88812469449306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5197312</v>
      </c>
      <c r="E26" s="1">
        <v>5216712</v>
      </c>
      <c r="F26" s="41">
        <f t="shared" si="6"/>
        <v>19.400000000000002</v>
      </c>
      <c r="G26" s="22">
        <f t="shared" si="1"/>
        <v>78.88710449503796</v>
      </c>
      <c r="H26" s="45">
        <f t="shared" si="2"/>
        <v>3.2350490085619517</v>
      </c>
      <c r="I26" s="42">
        <f t="shared" si="3"/>
        <v>82.122153503599918</v>
      </c>
      <c r="J26" s="30">
        <f t="shared" si="5"/>
        <v>310</v>
      </c>
      <c r="K26" s="195"/>
      <c r="L26" s="27">
        <f t="shared" si="4"/>
        <v>392.12215350359992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2629184</v>
      </c>
      <c r="E27" s="1">
        <v>2657947</v>
      </c>
      <c r="F27" s="41">
        <f t="shared" si="6"/>
        <v>28.763000000000002</v>
      </c>
      <c r="G27" s="22">
        <f t="shared" si="1"/>
        <v>116.96029827787508</v>
      </c>
      <c r="H27" s="45">
        <f t="shared" si="2"/>
        <v>3.2350490085619517</v>
      </c>
      <c r="I27" s="42">
        <f t="shared" si="3"/>
        <v>120.19534728643704</v>
      </c>
      <c r="J27" s="30">
        <f t="shared" si="5"/>
        <v>310</v>
      </c>
      <c r="K27" s="195">
        <v>10</v>
      </c>
      <c r="L27" s="27">
        <f t="shared" si="4"/>
        <v>440.19534728643703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2503889</v>
      </c>
      <c r="E28" s="1">
        <v>2513224</v>
      </c>
      <c r="F28" s="41">
        <f t="shared" si="6"/>
        <v>9.3350000000000009</v>
      </c>
      <c r="G28" s="22">
        <f t="shared" si="1"/>
        <v>37.959336106246354</v>
      </c>
      <c r="H28" s="45">
        <f t="shared" si="2"/>
        <v>3.2350490085619517</v>
      </c>
      <c r="I28" s="42">
        <f t="shared" si="3"/>
        <v>41.194385114808306</v>
      </c>
      <c r="J28" s="30">
        <f t="shared" si="5"/>
        <v>310</v>
      </c>
      <c r="K28" s="195"/>
      <c r="L28" s="27">
        <f t="shared" si="4"/>
        <v>351.19438511480831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2386149</v>
      </c>
      <c r="E29" s="1">
        <v>2399215</v>
      </c>
      <c r="F29" s="41">
        <f t="shared" si="6"/>
        <v>13.066000000000001</v>
      </c>
      <c r="G29" s="22">
        <f t="shared" si="1"/>
        <v>53.130871511967314</v>
      </c>
      <c r="H29" s="45">
        <f t="shared" si="2"/>
        <v>3.2350490085619517</v>
      </c>
      <c r="I29" s="42">
        <f t="shared" si="3"/>
        <v>56.365920520529265</v>
      </c>
      <c r="J29" s="30">
        <f t="shared" si="5"/>
        <v>310</v>
      </c>
      <c r="K29" s="195">
        <v>10</v>
      </c>
      <c r="L29" s="27">
        <f t="shared" si="4"/>
        <v>376.36592052052924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2718657</v>
      </c>
      <c r="E30" s="1">
        <v>2735554</v>
      </c>
      <c r="F30" s="41">
        <f t="shared" si="6"/>
        <v>16.897000000000002</v>
      </c>
      <c r="G30" s="22">
        <f t="shared" si="1"/>
        <v>68.709041476941053</v>
      </c>
      <c r="H30" s="45">
        <f t="shared" si="2"/>
        <v>3.2350490085619517</v>
      </c>
      <c r="I30" s="42">
        <f t="shared" si="3"/>
        <v>71.944090485503011</v>
      </c>
      <c r="J30" s="30">
        <f t="shared" si="5"/>
        <v>310</v>
      </c>
      <c r="K30" s="195"/>
      <c r="L30" s="27">
        <f t="shared" si="4"/>
        <v>381.94409048550301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4168404</v>
      </c>
      <c r="E31" s="1">
        <v>4182610</v>
      </c>
      <c r="F31" s="41">
        <f t="shared" si="6"/>
        <v>14.206</v>
      </c>
      <c r="G31" s="22">
        <f t="shared" si="1"/>
        <v>57.766505487448917</v>
      </c>
      <c r="H31" s="45">
        <f t="shared" si="2"/>
        <v>3.2350490085619517</v>
      </c>
      <c r="I31" s="42">
        <f t="shared" si="3"/>
        <v>61.001554496010868</v>
      </c>
      <c r="J31" s="30">
        <f t="shared" si="5"/>
        <v>310</v>
      </c>
      <c r="K31" s="195"/>
      <c r="L31" s="27">
        <f t="shared" si="4"/>
        <v>371.00155449601084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2484081</v>
      </c>
      <c r="E32" s="1">
        <v>2500200</v>
      </c>
      <c r="F32" s="41">
        <f t="shared" si="6"/>
        <v>16.119</v>
      </c>
      <c r="G32" s="22">
        <f t="shared" si="1"/>
        <v>65.545424605954466</v>
      </c>
      <c r="H32" s="45">
        <f t="shared" si="2"/>
        <v>3.2350490085619517</v>
      </c>
      <c r="I32" s="42">
        <f t="shared" si="3"/>
        <v>68.780473614516424</v>
      </c>
      <c r="J32" s="30">
        <f t="shared" si="5"/>
        <v>310</v>
      </c>
      <c r="K32" s="195"/>
      <c r="L32" s="27">
        <f t="shared" si="4"/>
        <v>378.78047361451644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110026</v>
      </c>
      <c r="E33" s="1">
        <v>111308</v>
      </c>
      <c r="F33" s="41">
        <f>(E33-D33)*0.01</f>
        <v>12.82</v>
      </c>
      <c r="G33" s="22">
        <f t="shared" si="1"/>
        <v>52.130550496205487</v>
      </c>
      <c r="H33" s="45">
        <f t="shared" si="2"/>
        <v>3.2350490085619517</v>
      </c>
      <c r="I33" s="42">
        <f t="shared" si="3"/>
        <v>55.365599504767438</v>
      </c>
      <c r="J33" s="30">
        <f t="shared" si="5"/>
        <v>310</v>
      </c>
      <c r="K33" s="195"/>
      <c r="L33" s="27">
        <f t="shared" si="4"/>
        <v>365.36559950476743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3293748</v>
      </c>
      <c r="E34" s="1">
        <v>3322917</v>
      </c>
      <c r="F34" s="41">
        <f t="shared" ref="F34:F42" si="7">(E34-D34)*$N$1</f>
        <v>29.169</v>
      </c>
      <c r="G34" s="22">
        <f t="shared" si="1"/>
        <v>118.61123458844133</v>
      </c>
      <c r="H34" s="45">
        <f t="shared" si="2"/>
        <v>3.2350490085619517</v>
      </c>
      <c r="I34" s="42">
        <f t="shared" si="3"/>
        <v>121.84628359700329</v>
      </c>
      <c r="J34" s="30">
        <f t="shared" si="5"/>
        <v>310</v>
      </c>
      <c r="K34" s="195"/>
      <c r="L34" s="27">
        <f t="shared" si="4"/>
        <v>431.84628359700332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3224867</v>
      </c>
      <c r="E35" s="1">
        <v>3239731</v>
      </c>
      <c r="F35" s="41">
        <f t="shared" si="7"/>
        <v>14.864000000000001</v>
      </c>
      <c r="G35" s="22">
        <f t="shared" si="1"/>
        <v>60.442160887332172</v>
      </c>
      <c r="H35" s="45">
        <f t="shared" si="2"/>
        <v>3.2350490085619517</v>
      </c>
      <c r="I35" s="42">
        <f t="shared" si="3"/>
        <v>63.677209895894123</v>
      </c>
      <c r="J35" s="30">
        <f t="shared" si="5"/>
        <v>310</v>
      </c>
      <c r="K35" s="195">
        <v>10</v>
      </c>
      <c r="L35" s="27">
        <f t="shared" si="4"/>
        <v>383.67720989589412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1256409</v>
      </c>
      <c r="E36" s="1">
        <v>1274076</v>
      </c>
      <c r="F36" s="41">
        <f t="shared" si="7"/>
        <v>17.667000000000002</v>
      </c>
      <c r="G36" s="22">
        <f t="shared" si="1"/>
        <v>71.840127583187396</v>
      </c>
      <c r="H36" s="45">
        <f t="shared" si="2"/>
        <v>3.2350490085619517</v>
      </c>
      <c r="I36" s="42">
        <f t="shared" si="3"/>
        <v>75.075176591749354</v>
      </c>
      <c r="J36" s="30">
        <f t="shared" si="5"/>
        <v>310</v>
      </c>
      <c r="K36" s="195"/>
      <c r="L36" s="27">
        <f t="shared" si="4"/>
        <v>385.07517659174937</v>
      </c>
    </row>
    <row r="37" spans="1:12" ht="15" customHeight="1" x14ac:dyDescent="0.45">
      <c r="A37" s="314"/>
      <c r="B37" s="5" t="s">
        <v>4</v>
      </c>
      <c r="C37" s="2">
        <v>403</v>
      </c>
      <c r="D37" s="1">
        <v>1497817</v>
      </c>
      <c r="E37" s="1">
        <v>1514971</v>
      </c>
      <c r="F37" s="41">
        <f t="shared" si="7"/>
        <v>17.154</v>
      </c>
      <c r="G37" s="22">
        <f t="shared" si="1"/>
        <v>69.754092294220669</v>
      </c>
      <c r="H37" s="45">
        <f t="shared" si="2"/>
        <v>3.2350490085619517</v>
      </c>
      <c r="I37" s="42">
        <f t="shared" si="3"/>
        <v>72.989141302782627</v>
      </c>
      <c r="J37" s="30">
        <f t="shared" si="5"/>
        <v>310</v>
      </c>
      <c r="K37" s="195"/>
      <c r="L37" s="27">
        <f t="shared" si="4"/>
        <v>382.98914130278263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3728470</v>
      </c>
      <c r="E38" s="1">
        <v>3754016</v>
      </c>
      <c r="F38" s="41">
        <f t="shared" si="7"/>
        <v>25.545999999999999</v>
      </c>
      <c r="G38" s="22">
        <f t="shared" si="1"/>
        <v>103.87886450671337</v>
      </c>
      <c r="H38" s="45">
        <f t="shared" si="2"/>
        <v>3.2350490085619517</v>
      </c>
      <c r="I38" s="42">
        <f t="shared" si="3"/>
        <v>107.11391351527533</v>
      </c>
      <c r="J38" s="30">
        <f t="shared" si="5"/>
        <v>310</v>
      </c>
      <c r="K38" s="195"/>
      <c r="L38" s="27">
        <f t="shared" si="4"/>
        <v>417.11391351527533</v>
      </c>
    </row>
    <row r="39" spans="1:12" ht="15" customHeight="1" x14ac:dyDescent="0.45">
      <c r="A39" s="314"/>
      <c r="B39" s="5" t="s">
        <v>4</v>
      </c>
      <c r="C39" s="2">
        <v>501</v>
      </c>
      <c r="D39" s="1">
        <v>4807786</v>
      </c>
      <c r="E39" s="1">
        <v>4881149</v>
      </c>
      <c r="F39" s="41">
        <f t="shared" si="7"/>
        <v>73.363</v>
      </c>
      <c r="G39" s="22">
        <f t="shared" si="1"/>
        <v>298.31931170461178</v>
      </c>
      <c r="H39" s="45">
        <f t="shared" si="2"/>
        <v>3.2350490085619517</v>
      </c>
      <c r="I39" s="42">
        <f t="shared" si="3"/>
        <v>301.55436071317371</v>
      </c>
      <c r="J39" s="30">
        <f t="shared" si="5"/>
        <v>310</v>
      </c>
      <c r="K39" s="195"/>
      <c r="L39" s="27">
        <f t="shared" si="4"/>
        <v>611.55436071317376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6560968</v>
      </c>
      <c r="E40" s="1">
        <v>6582786</v>
      </c>
      <c r="F40" s="41">
        <f t="shared" si="7"/>
        <v>21.818000000000001</v>
      </c>
      <c r="G40" s="22">
        <f t="shared" si="1"/>
        <v>88.719528137769998</v>
      </c>
      <c r="H40" s="45">
        <f t="shared" si="2"/>
        <v>3.2350490085619517</v>
      </c>
      <c r="I40" s="42">
        <f t="shared" si="3"/>
        <v>91.954577146331957</v>
      </c>
      <c r="J40" s="30">
        <f t="shared" si="5"/>
        <v>310</v>
      </c>
      <c r="K40" s="195"/>
      <c r="L40" s="27">
        <f t="shared" si="4"/>
        <v>401.95457714633199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3641386</v>
      </c>
      <c r="E41" s="1">
        <v>3668088</v>
      </c>
      <c r="F41" s="41">
        <f t="shared" si="7"/>
        <v>26.702000000000002</v>
      </c>
      <c r="G41" s="22">
        <f t="shared" si="1"/>
        <v>108.57956001167543</v>
      </c>
      <c r="H41" s="45">
        <f t="shared" si="2"/>
        <v>3.2350490085619517</v>
      </c>
      <c r="I41" s="42">
        <f t="shared" si="3"/>
        <v>111.81460902023738</v>
      </c>
      <c r="J41" s="30">
        <f t="shared" si="5"/>
        <v>310</v>
      </c>
      <c r="K41" s="195"/>
      <c r="L41" s="27">
        <f t="shared" si="4"/>
        <v>421.81460902023741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2931864</v>
      </c>
      <c r="E42" s="1">
        <v>2941257</v>
      </c>
      <c r="F42" s="41">
        <f t="shared" si="7"/>
        <v>9.3930000000000007</v>
      </c>
      <c r="G42" s="22">
        <f t="shared" si="1"/>
        <v>38.19518415061296</v>
      </c>
      <c r="H42" s="45">
        <f t="shared" si="2"/>
        <v>3.2350490085619517</v>
      </c>
      <c r="I42" s="42">
        <f t="shared" si="3"/>
        <v>41.430233159174911</v>
      </c>
      <c r="J42" s="30">
        <f t="shared" si="5"/>
        <v>310</v>
      </c>
      <c r="K42" s="195"/>
      <c r="L42" s="27">
        <f t="shared" si="4"/>
        <v>351.43023315917492</v>
      </c>
    </row>
    <row r="43" spans="1:12" ht="15" customHeight="1" x14ac:dyDescent="0.45">
      <c r="A43" s="318"/>
      <c r="B43" s="5" t="s">
        <v>5</v>
      </c>
      <c r="C43" s="2">
        <v>101</v>
      </c>
      <c r="D43" s="1">
        <v>26128</v>
      </c>
      <c r="E43" s="1">
        <v>26989</v>
      </c>
      <c r="F43" s="41">
        <f>(E43-D43)*0.01</f>
        <v>8.61</v>
      </c>
      <c r="G43" s="22">
        <f t="shared" si="1"/>
        <v>35.011235551663745</v>
      </c>
      <c r="H43" s="45">
        <f t="shared" si="2"/>
        <v>3.2350490085619517</v>
      </c>
      <c r="I43" s="42">
        <f t="shared" si="3"/>
        <v>38.246284560225696</v>
      </c>
      <c r="J43" s="30">
        <f t="shared" si="5"/>
        <v>310</v>
      </c>
      <c r="K43" s="195"/>
      <c r="L43" s="27">
        <f t="shared" si="4"/>
        <v>348.24628456022572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2843814</v>
      </c>
      <c r="E44" s="1">
        <v>2868097</v>
      </c>
      <c r="F44" s="41">
        <f t="shared" ref="F44:F56" si="8">(E44-D44)*$N$1</f>
        <v>24.283000000000001</v>
      </c>
      <c r="G44" s="22">
        <f t="shared" si="1"/>
        <v>98.743070023350853</v>
      </c>
      <c r="H44" s="45">
        <f t="shared" si="2"/>
        <v>3.2350490085619517</v>
      </c>
      <c r="I44" s="42">
        <f t="shared" si="3"/>
        <v>101.97811903191281</v>
      </c>
      <c r="J44" s="30">
        <f t="shared" si="5"/>
        <v>310</v>
      </c>
      <c r="K44" s="195"/>
      <c r="L44" s="27">
        <f t="shared" si="4"/>
        <v>411.9781190319128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983409</v>
      </c>
      <c r="E45" s="1">
        <v>984463</v>
      </c>
      <c r="F45" s="41">
        <f t="shared" si="8"/>
        <v>1.054</v>
      </c>
      <c r="G45" s="22">
        <f t="shared" si="1"/>
        <v>4.2859282545242268</v>
      </c>
      <c r="H45" s="45">
        <f t="shared" si="2"/>
        <v>3.2350490085619517</v>
      </c>
      <c r="I45" s="42">
        <f t="shared" si="3"/>
        <v>7.5209772630861789</v>
      </c>
      <c r="J45" s="30">
        <f t="shared" si="5"/>
        <v>310</v>
      </c>
      <c r="K45" s="195"/>
      <c r="L45" s="27">
        <f t="shared" si="4"/>
        <v>317.52097726308619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4142548</v>
      </c>
      <c r="E46" s="1">
        <v>4160117</v>
      </c>
      <c r="F46" s="41">
        <f t="shared" si="8"/>
        <v>17.568999999999999</v>
      </c>
      <c r="G46" s="22">
        <f t="shared" si="1"/>
        <v>71.44162571511967</v>
      </c>
      <c r="H46" s="45">
        <f t="shared" si="2"/>
        <v>3.2350490085619517</v>
      </c>
      <c r="I46" s="42">
        <f t="shared" si="3"/>
        <v>74.676674723681629</v>
      </c>
      <c r="J46" s="30">
        <f t="shared" si="5"/>
        <v>310</v>
      </c>
      <c r="K46" s="195"/>
      <c r="L46" s="27">
        <f t="shared" si="4"/>
        <v>384.67667472368163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3869220</v>
      </c>
      <c r="E47" s="1">
        <v>3905152</v>
      </c>
      <c r="F47" s="41">
        <f t="shared" si="8"/>
        <v>35.932000000000002</v>
      </c>
      <c r="G47" s="22">
        <f t="shared" si="1"/>
        <v>146.11192983070637</v>
      </c>
      <c r="H47" s="45">
        <f t="shared" si="2"/>
        <v>3.2350490085619517</v>
      </c>
      <c r="I47" s="42">
        <f t="shared" si="3"/>
        <v>149.34697883926833</v>
      </c>
      <c r="J47" s="30">
        <f t="shared" si="5"/>
        <v>310</v>
      </c>
      <c r="K47" s="195"/>
      <c r="L47" s="27">
        <f t="shared" si="4"/>
        <v>459.34697883926833</v>
      </c>
    </row>
    <row r="48" spans="1:12" ht="15" customHeight="1" x14ac:dyDescent="0.45">
      <c r="A48" s="318"/>
      <c r="B48" s="5" t="s">
        <v>5</v>
      </c>
      <c r="C48" s="2">
        <v>202</v>
      </c>
      <c r="D48" s="1">
        <v>2897411</v>
      </c>
      <c r="E48" s="1">
        <v>2934597</v>
      </c>
      <c r="F48" s="41">
        <f t="shared" si="8"/>
        <v>37.186</v>
      </c>
      <c r="G48" s="22">
        <f t="shared" si="1"/>
        <v>151.21112720373614</v>
      </c>
      <c r="H48" s="45">
        <f t="shared" si="2"/>
        <v>3.2350490085619517</v>
      </c>
      <c r="I48" s="42">
        <f t="shared" si="3"/>
        <v>154.4461762122981</v>
      </c>
      <c r="J48" s="30">
        <f t="shared" si="5"/>
        <v>310</v>
      </c>
      <c r="K48" s="195">
        <v>10</v>
      </c>
      <c r="L48" s="27">
        <f t="shared" si="4"/>
        <v>474.4461762122981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2328283</v>
      </c>
      <c r="E49" s="1">
        <v>2345755</v>
      </c>
      <c r="F49" s="41">
        <f t="shared" si="8"/>
        <v>17.472000000000001</v>
      </c>
      <c r="G49" s="22">
        <f t="shared" si="1"/>
        <v>71.047190192644493</v>
      </c>
      <c r="H49" s="45">
        <f t="shared" si="2"/>
        <v>3.2350490085619517</v>
      </c>
      <c r="I49" s="42">
        <f t="shared" si="3"/>
        <v>74.282239201206451</v>
      </c>
      <c r="J49" s="30">
        <f t="shared" si="5"/>
        <v>310</v>
      </c>
      <c r="K49" s="195"/>
      <c r="L49" s="27">
        <f t="shared" si="4"/>
        <v>384.28223920120644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2250959</v>
      </c>
      <c r="E50" s="1">
        <v>2266626</v>
      </c>
      <c r="F50" s="41">
        <f t="shared" si="8"/>
        <v>15.667</v>
      </c>
      <c r="G50" s="22">
        <f t="shared" si="1"/>
        <v>63.707436398131932</v>
      </c>
      <c r="H50" s="45">
        <f t="shared" si="2"/>
        <v>3.2350490085619517</v>
      </c>
      <c r="I50" s="42">
        <f t="shared" si="3"/>
        <v>66.942485406693891</v>
      </c>
      <c r="J50" s="30">
        <f t="shared" si="5"/>
        <v>310</v>
      </c>
      <c r="K50" s="202"/>
      <c r="L50" s="27">
        <f t="shared" si="4"/>
        <v>376.94248540669389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2675182</v>
      </c>
      <c r="E51" s="1">
        <v>2687426</v>
      </c>
      <c r="F51" s="41">
        <f t="shared" si="8"/>
        <v>12.244</v>
      </c>
      <c r="G51" s="22">
        <f t="shared" si="1"/>
        <v>49.788335434909513</v>
      </c>
      <c r="H51" s="45">
        <f t="shared" si="2"/>
        <v>3.2350490085619517</v>
      </c>
      <c r="I51" s="42">
        <f t="shared" si="3"/>
        <v>53.023384443471464</v>
      </c>
      <c r="J51" s="30">
        <f t="shared" si="5"/>
        <v>310</v>
      </c>
      <c r="K51" s="195"/>
      <c r="L51" s="27">
        <f t="shared" si="4"/>
        <v>363.02338444347146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4019909</v>
      </c>
      <c r="E52" s="1">
        <v>4041961</v>
      </c>
      <c r="F52" s="41">
        <f t="shared" si="8"/>
        <v>22.052</v>
      </c>
      <c r="G52" s="22">
        <f t="shared" si="1"/>
        <v>89.671053006421488</v>
      </c>
      <c r="H52" s="45">
        <f t="shared" si="2"/>
        <v>3.2350490085619517</v>
      </c>
      <c r="I52" s="42">
        <f t="shared" si="3"/>
        <v>92.906102014983446</v>
      </c>
      <c r="J52" s="30">
        <f t="shared" si="5"/>
        <v>310</v>
      </c>
      <c r="K52" s="195">
        <v>10</v>
      </c>
      <c r="L52" s="27">
        <f t="shared" si="4"/>
        <v>412.90610201498345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3644933</v>
      </c>
      <c r="E53" s="1">
        <v>3653966</v>
      </c>
      <c r="F53" s="41">
        <f t="shared" si="8"/>
        <v>9.0329999999999995</v>
      </c>
      <c r="G53" s="22">
        <f t="shared" si="1"/>
        <v>36.731299737302976</v>
      </c>
      <c r="H53" s="45">
        <f t="shared" si="2"/>
        <v>3.2350490085619517</v>
      </c>
      <c r="I53" s="42">
        <f t="shared" si="3"/>
        <v>39.966348745864927</v>
      </c>
      <c r="J53" s="30">
        <f t="shared" si="5"/>
        <v>310</v>
      </c>
      <c r="K53" s="195"/>
      <c r="L53" s="27">
        <f t="shared" si="4"/>
        <v>349.96634874586493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2878913</v>
      </c>
      <c r="E54" s="1">
        <v>2893181</v>
      </c>
      <c r="F54" s="41">
        <f t="shared" si="8"/>
        <v>14.268000000000001</v>
      </c>
      <c r="G54" s="22">
        <f t="shared" si="1"/>
        <v>58.018618914185645</v>
      </c>
      <c r="H54" s="45">
        <f t="shared" si="2"/>
        <v>3.2350490085619517</v>
      </c>
      <c r="I54" s="42">
        <f t="shared" si="3"/>
        <v>61.253667922747596</v>
      </c>
      <c r="J54" s="30">
        <f t="shared" si="5"/>
        <v>310</v>
      </c>
      <c r="K54" s="195"/>
      <c r="L54" s="27">
        <f t="shared" si="4"/>
        <v>371.25366792274758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3010192</v>
      </c>
      <c r="E55" s="1">
        <v>3022251</v>
      </c>
      <c r="F55" s="41">
        <f t="shared" si="8"/>
        <v>12.059000000000001</v>
      </c>
      <c r="G55" s="22">
        <f t="shared" si="1"/>
        <v>49.036061500291893</v>
      </c>
      <c r="H55" s="45">
        <f t="shared" si="2"/>
        <v>3.2350490085619517</v>
      </c>
      <c r="I55" s="42">
        <f t="shared" si="3"/>
        <v>52.271110508853845</v>
      </c>
      <c r="J55" s="30">
        <f t="shared" si="5"/>
        <v>310</v>
      </c>
      <c r="K55" s="195"/>
      <c r="L55" s="27">
        <f t="shared" si="4"/>
        <v>362.27111050885384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1304542</v>
      </c>
      <c r="E56" s="1">
        <v>1309317</v>
      </c>
      <c r="F56" s="41">
        <f t="shared" si="8"/>
        <v>4.7750000000000004</v>
      </c>
      <c r="G56" s="22">
        <f t="shared" si="1"/>
        <v>19.416800204319909</v>
      </c>
      <c r="H56" s="45">
        <f t="shared" si="2"/>
        <v>3.2350490085619517</v>
      </c>
      <c r="I56" s="42">
        <f t="shared" si="3"/>
        <v>22.65184921288186</v>
      </c>
      <c r="J56" s="30">
        <f t="shared" si="5"/>
        <v>310</v>
      </c>
      <c r="K56" s="195"/>
      <c r="L56" s="27">
        <f t="shared" si="4"/>
        <v>332.65184921288187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158410</v>
      </c>
      <c r="E57" s="1">
        <v>160355</v>
      </c>
      <c r="F57" s="41">
        <f>(E57-D57)*0.01</f>
        <v>19.45</v>
      </c>
      <c r="G57" s="22">
        <f t="shared" si="1"/>
        <v>79.090421774664335</v>
      </c>
      <c r="H57" s="45">
        <f t="shared" si="2"/>
        <v>3.2350490085619517</v>
      </c>
      <c r="I57" s="42">
        <f t="shared" si="3"/>
        <v>82.325470783226294</v>
      </c>
      <c r="J57" s="30">
        <f t="shared" si="5"/>
        <v>310</v>
      </c>
      <c r="K57" s="195">
        <v>10</v>
      </c>
      <c r="L57" s="27">
        <f t="shared" si="4"/>
        <v>402.32547078322631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1927835</v>
      </c>
      <c r="E58" s="1">
        <v>1939961</v>
      </c>
      <c r="F58" s="41">
        <f t="shared" ref="F58:F87" si="9">(E58-D58)*$N$1</f>
        <v>12.125999999999999</v>
      </c>
      <c r="G58" s="22">
        <f t="shared" si="1"/>
        <v>49.308506654991241</v>
      </c>
      <c r="H58" s="45">
        <f t="shared" si="2"/>
        <v>3.2350490085619517</v>
      </c>
      <c r="I58" s="42">
        <f t="shared" si="3"/>
        <v>52.543555663553192</v>
      </c>
      <c r="J58" s="30">
        <f t="shared" si="5"/>
        <v>310</v>
      </c>
      <c r="K58" s="195"/>
      <c r="L58" s="27">
        <f t="shared" si="4"/>
        <v>362.54355566355321</v>
      </c>
    </row>
    <row r="59" spans="1:12" ht="15" customHeight="1" x14ac:dyDescent="0.45">
      <c r="A59" s="318"/>
      <c r="B59" s="5" t="s">
        <v>5</v>
      </c>
      <c r="C59" s="2">
        <v>501</v>
      </c>
      <c r="D59" s="1">
        <v>2804707</v>
      </c>
      <c r="E59" s="1">
        <v>2873370</v>
      </c>
      <c r="F59" s="41">
        <f t="shared" si="9"/>
        <v>68.662999999999997</v>
      </c>
      <c r="G59" s="22">
        <f t="shared" si="1"/>
        <v>279.20748741973148</v>
      </c>
      <c r="H59" s="45">
        <f t="shared" si="2"/>
        <v>3.2350490085619517</v>
      </c>
      <c r="I59" s="42">
        <f t="shared" si="3"/>
        <v>282.44253642829341</v>
      </c>
      <c r="J59" s="30">
        <f t="shared" si="5"/>
        <v>310</v>
      </c>
      <c r="K59" s="195"/>
      <c r="L59" s="27">
        <f t="shared" si="4"/>
        <v>592.44253642829335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3429419</v>
      </c>
      <c r="E60" s="1">
        <v>3444139</v>
      </c>
      <c r="F60" s="41">
        <f t="shared" si="9"/>
        <v>14.72</v>
      </c>
      <c r="G60" s="22">
        <f t="shared" si="1"/>
        <v>59.856607122008178</v>
      </c>
      <c r="H60" s="45">
        <f t="shared" si="2"/>
        <v>3.2350490085619517</v>
      </c>
      <c r="I60" s="42">
        <f t="shared" si="3"/>
        <v>63.091656130570129</v>
      </c>
      <c r="J60" s="30">
        <f t="shared" si="5"/>
        <v>310</v>
      </c>
      <c r="K60" s="195"/>
      <c r="L60" s="27">
        <f t="shared" si="4"/>
        <v>373.09165613057013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4361048</v>
      </c>
      <c r="E61" s="1">
        <v>4395738</v>
      </c>
      <c r="F61" s="41">
        <f t="shared" si="9"/>
        <v>34.69</v>
      </c>
      <c r="G61" s="22">
        <f t="shared" si="1"/>
        <v>141.06152860478693</v>
      </c>
      <c r="H61" s="45">
        <f t="shared" si="2"/>
        <v>3.2350490085619517</v>
      </c>
      <c r="I61" s="42">
        <f t="shared" si="3"/>
        <v>144.29657761334889</v>
      </c>
      <c r="J61" s="30">
        <f t="shared" si="5"/>
        <v>310</v>
      </c>
      <c r="K61" s="195"/>
      <c r="L61" s="27">
        <f t="shared" si="4"/>
        <v>454.29657761334886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2064770</v>
      </c>
      <c r="E62" s="1">
        <v>2085083</v>
      </c>
      <c r="F62" s="41">
        <f t="shared" si="9"/>
        <v>20.312999999999999</v>
      </c>
      <c r="G62" s="22">
        <f t="shared" si="1"/>
        <v>82.599678021015762</v>
      </c>
      <c r="H62" s="45">
        <f t="shared" si="2"/>
        <v>3.2350490085619517</v>
      </c>
      <c r="I62" s="42">
        <f t="shared" si="3"/>
        <v>85.834727029577721</v>
      </c>
      <c r="J62" s="30">
        <f t="shared" si="5"/>
        <v>310</v>
      </c>
      <c r="K62" s="202"/>
      <c r="L62" s="27">
        <f t="shared" si="4"/>
        <v>395.83472702957772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4800797</v>
      </c>
      <c r="E63" s="1">
        <v>4820963</v>
      </c>
      <c r="F63" s="41">
        <f t="shared" si="9"/>
        <v>20.166</v>
      </c>
      <c r="G63" s="22">
        <f t="shared" si="1"/>
        <v>82.001925218914195</v>
      </c>
      <c r="H63" s="45">
        <f t="shared" si="2"/>
        <v>3.2350490085619517</v>
      </c>
      <c r="I63" s="42">
        <f t="shared" si="3"/>
        <v>85.236974227476153</v>
      </c>
      <c r="J63" s="30">
        <f t="shared" si="5"/>
        <v>310</v>
      </c>
      <c r="K63" s="195"/>
      <c r="L63" s="27">
        <f t="shared" si="4"/>
        <v>395.23697422747614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4654416</v>
      </c>
      <c r="E64" s="1">
        <v>4659977</v>
      </c>
      <c r="F64" s="41">
        <f t="shared" si="9"/>
        <v>5.5609999999999999</v>
      </c>
      <c r="G64" s="22">
        <f>MMULT($G$1,1/$F$183)*F64</f>
        <v>22.612947840046701</v>
      </c>
      <c r="H64" s="45">
        <f t="shared" si="2"/>
        <v>3.2350490085619517</v>
      </c>
      <c r="I64" s="42">
        <f t="shared" si="3"/>
        <v>25.847996848608652</v>
      </c>
      <c r="J64" s="30">
        <f t="shared" si="5"/>
        <v>310</v>
      </c>
      <c r="K64" s="195"/>
      <c r="L64" s="27">
        <f t="shared" si="4"/>
        <v>335.84799684860866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3336131</v>
      </c>
      <c r="E65" s="1">
        <v>3355031</v>
      </c>
      <c r="F65" s="41">
        <f t="shared" si="9"/>
        <v>18.900000000000002</v>
      </c>
      <c r="G65" s="22">
        <f t="shared" si="1"/>
        <v>76.85393169877409</v>
      </c>
      <c r="H65" s="45">
        <f t="shared" si="2"/>
        <v>3.2350490085619517</v>
      </c>
      <c r="I65" s="42">
        <f t="shared" si="3"/>
        <v>80.088980707336049</v>
      </c>
      <c r="J65" s="30">
        <f t="shared" si="5"/>
        <v>310</v>
      </c>
      <c r="K65" s="195"/>
      <c r="L65" s="27">
        <f>SUM(I65,J65,K65)</f>
        <v>390.08898070733608</v>
      </c>
    </row>
    <row r="66" spans="1:12" ht="15" customHeight="1" x14ac:dyDescent="0.45">
      <c r="A66" s="314"/>
      <c r="B66" s="5" t="s">
        <v>6</v>
      </c>
      <c r="C66" s="2">
        <v>104</v>
      </c>
      <c r="D66" s="1">
        <v>50928</v>
      </c>
      <c r="E66" s="1">
        <v>70574</v>
      </c>
      <c r="F66" s="41">
        <f t="shared" si="9"/>
        <v>19.646000000000001</v>
      </c>
      <c r="G66" s="22">
        <f t="shared" si="1"/>
        <v>79.887425510799773</v>
      </c>
      <c r="H66" s="45">
        <f t="shared" si="2"/>
        <v>3.2350490085619517</v>
      </c>
      <c r="I66" s="42">
        <f t="shared" si="3"/>
        <v>83.122474519361731</v>
      </c>
      <c r="J66" s="30">
        <f t="shared" si="5"/>
        <v>310</v>
      </c>
      <c r="K66" s="195"/>
      <c r="L66" s="27">
        <f t="shared" si="4"/>
        <v>393.12247451936173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4041940</v>
      </c>
      <c r="E67" s="1">
        <v>4052868</v>
      </c>
      <c r="F67" s="41">
        <f t="shared" si="9"/>
        <v>10.928000000000001</v>
      </c>
      <c r="G67" s="22">
        <f t="shared" si="1"/>
        <v>44.437024635143025</v>
      </c>
      <c r="H67" s="45">
        <f t="shared" si="2"/>
        <v>3.2350490085619517</v>
      </c>
      <c r="I67" s="42">
        <f t="shared" si="3"/>
        <v>47.672073643704977</v>
      </c>
      <c r="J67" s="30">
        <f t="shared" si="5"/>
        <v>310</v>
      </c>
      <c r="K67" s="195"/>
      <c r="L67" s="27">
        <f t="shared" si="4"/>
        <v>357.67207364370495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4156667</v>
      </c>
      <c r="E68" s="1">
        <v>4171418</v>
      </c>
      <c r="F68" s="41">
        <f t="shared" si="9"/>
        <v>14.750999999999999</v>
      </c>
      <c r="G68" s="22">
        <f t="shared" ref="G68:G131" si="10">MMULT($G$1,1/$F$183)*F68</f>
        <v>59.982663835376535</v>
      </c>
      <c r="H68" s="45">
        <f t="shared" ref="H68:H131" si="11">MMULT($H$1,1/180)</f>
        <v>3.2350490085619517</v>
      </c>
      <c r="I68" s="42">
        <f t="shared" ref="I68:I131" si="12">SUM(G68,H68)</f>
        <v>63.217712843938486</v>
      </c>
      <c r="J68" s="30">
        <f t="shared" si="5"/>
        <v>310</v>
      </c>
      <c r="K68" s="195"/>
      <c r="L68" s="27">
        <f t="shared" ref="L68:L131" si="13">SUM(I68,J68,K68)</f>
        <v>373.2177128439385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2484310</v>
      </c>
      <c r="E69" s="1">
        <v>2486574</v>
      </c>
      <c r="F69" s="41">
        <f t="shared" si="9"/>
        <v>2.2640000000000002</v>
      </c>
      <c r="G69" s="22">
        <f t="shared" si="10"/>
        <v>9.2062064214827792</v>
      </c>
      <c r="H69" s="45">
        <f t="shared" si="11"/>
        <v>3.2350490085619517</v>
      </c>
      <c r="I69" s="42">
        <f t="shared" si="12"/>
        <v>12.44125543004473</v>
      </c>
      <c r="J69" s="30">
        <f t="shared" ref="J69:J132" si="14">SUM($J$3)</f>
        <v>310</v>
      </c>
      <c r="K69" s="195"/>
      <c r="L69" s="27">
        <f t="shared" si="13"/>
        <v>322.44125543004475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2383120</v>
      </c>
      <c r="E70" s="1">
        <v>2398099</v>
      </c>
      <c r="F70" s="41">
        <f t="shared" si="9"/>
        <v>14.979000000000001</v>
      </c>
      <c r="G70" s="22">
        <f t="shared" si="10"/>
        <v>60.909790630472862</v>
      </c>
      <c r="H70" s="45">
        <f t="shared" si="11"/>
        <v>3.2350490085619517</v>
      </c>
      <c r="I70" s="42">
        <f t="shared" si="12"/>
        <v>64.144839639034814</v>
      </c>
      <c r="J70" s="30">
        <f t="shared" si="14"/>
        <v>310</v>
      </c>
      <c r="K70" s="195"/>
      <c r="L70" s="27">
        <f t="shared" si="13"/>
        <v>374.14483963903479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3853485</v>
      </c>
      <c r="E71" s="1">
        <v>3869140</v>
      </c>
      <c r="F71" s="41">
        <f t="shared" si="9"/>
        <v>15.655000000000001</v>
      </c>
      <c r="G71" s="22">
        <f t="shared" si="10"/>
        <v>63.658640251021602</v>
      </c>
      <c r="H71" s="45">
        <f t="shared" si="11"/>
        <v>3.2350490085619517</v>
      </c>
      <c r="I71" s="42">
        <f t="shared" si="12"/>
        <v>66.893689259583553</v>
      </c>
      <c r="J71" s="30">
        <f t="shared" si="14"/>
        <v>310</v>
      </c>
      <c r="K71" s="195"/>
      <c r="L71" s="27">
        <f t="shared" si="13"/>
        <v>376.89368925958354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3066435</v>
      </c>
      <c r="E72" s="1">
        <v>3085471</v>
      </c>
      <c r="F72" s="41">
        <f t="shared" si="9"/>
        <v>19.036000000000001</v>
      </c>
      <c r="G72" s="22">
        <f t="shared" si="10"/>
        <v>77.406954699357854</v>
      </c>
      <c r="H72" s="45">
        <f t="shared" si="11"/>
        <v>3.2350490085619517</v>
      </c>
      <c r="I72" s="42">
        <f t="shared" si="12"/>
        <v>80.642003707919812</v>
      </c>
      <c r="J72" s="30">
        <f t="shared" si="14"/>
        <v>310</v>
      </c>
      <c r="K72" s="195"/>
      <c r="L72" s="27">
        <f t="shared" si="13"/>
        <v>390.6420037079198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3456160</v>
      </c>
      <c r="E73" s="1">
        <v>3465443</v>
      </c>
      <c r="F73" s="41">
        <f t="shared" si="9"/>
        <v>9.2829999999999995</v>
      </c>
      <c r="G73" s="22">
        <f t="shared" si="10"/>
        <v>37.747886135434911</v>
      </c>
      <c r="H73" s="45">
        <f t="shared" si="11"/>
        <v>3.2350490085619517</v>
      </c>
      <c r="I73" s="42">
        <f t="shared" si="12"/>
        <v>40.982935143996862</v>
      </c>
      <c r="J73" s="30">
        <f t="shared" si="14"/>
        <v>310</v>
      </c>
      <c r="K73" s="195"/>
      <c r="L73" s="27">
        <f t="shared" si="13"/>
        <v>350.98293514399688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1447310</v>
      </c>
      <c r="E74" s="1">
        <v>1456980</v>
      </c>
      <c r="F74" s="41">
        <f t="shared" si="9"/>
        <v>9.67</v>
      </c>
      <c r="G74" s="22">
        <f t="shared" si="10"/>
        <v>39.321561879743143</v>
      </c>
      <c r="H74" s="45">
        <f t="shared" si="11"/>
        <v>3.2350490085619517</v>
      </c>
      <c r="I74" s="42">
        <f t="shared" si="12"/>
        <v>42.556610888305094</v>
      </c>
      <c r="J74" s="30">
        <f t="shared" si="14"/>
        <v>310</v>
      </c>
      <c r="K74" s="195"/>
      <c r="L74" s="27">
        <f t="shared" si="13"/>
        <v>352.5566108883051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4697115</v>
      </c>
      <c r="E75" s="1">
        <v>4719414</v>
      </c>
      <c r="F75" s="41">
        <f t="shared" si="9"/>
        <v>22.298999999999999</v>
      </c>
      <c r="G75" s="22">
        <f t="shared" si="10"/>
        <v>90.675440367775835</v>
      </c>
      <c r="H75" s="45">
        <f t="shared" si="11"/>
        <v>3.2350490085619517</v>
      </c>
      <c r="I75" s="42">
        <f t="shared" si="12"/>
        <v>93.910489376337793</v>
      </c>
      <c r="J75" s="30">
        <f t="shared" si="14"/>
        <v>310</v>
      </c>
      <c r="K75" s="195"/>
      <c r="L75" s="27">
        <f t="shared" si="13"/>
        <v>403.91048937633781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2838998</v>
      </c>
      <c r="E76" s="1">
        <v>2868609</v>
      </c>
      <c r="F76" s="41">
        <f t="shared" si="9"/>
        <v>29.611000000000001</v>
      </c>
      <c r="G76" s="22">
        <f t="shared" si="10"/>
        <v>120.4085593403386</v>
      </c>
      <c r="H76" s="45">
        <f t="shared" si="11"/>
        <v>3.2350490085619517</v>
      </c>
      <c r="I76" s="42">
        <f t="shared" si="12"/>
        <v>123.64360834890056</v>
      </c>
      <c r="J76" s="30">
        <f t="shared" si="14"/>
        <v>310</v>
      </c>
      <c r="K76" s="195"/>
      <c r="L76" s="27">
        <f t="shared" si="13"/>
        <v>433.64360834890056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2621815</v>
      </c>
      <c r="E77" s="1">
        <v>2655967</v>
      </c>
      <c r="F77" s="41">
        <f t="shared" si="9"/>
        <v>34.152000000000001</v>
      </c>
      <c r="G77" s="22">
        <f t="shared" si="10"/>
        <v>138.87383467600702</v>
      </c>
      <c r="H77" s="45">
        <f t="shared" si="11"/>
        <v>3.2350490085619517</v>
      </c>
      <c r="I77" s="42">
        <f t="shared" si="12"/>
        <v>142.10888368456898</v>
      </c>
      <c r="J77" s="30">
        <f t="shared" si="14"/>
        <v>310</v>
      </c>
      <c r="K77" s="195"/>
      <c r="L77" s="27">
        <f t="shared" si="13"/>
        <v>452.10888368456898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2724206</v>
      </c>
      <c r="E78" s="1">
        <v>2737628</v>
      </c>
      <c r="F78" s="41">
        <f t="shared" si="9"/>
        <v>13.422000000000001</v>
      </c>
      <c r="G78" s="22">
        <f t="shared" si="10"/>
        <v>54.578490542907183</v>
      </c>
      <c r="H78" s="45">
        <f t="shared" si="11"/>
        <v>3.2350490085619517</v>
      </c>
      <c r="I78" s="42">
        <f t="shared" si="12"/>
        <v>57.813539551469134</v>
      </c>
      <c r="J78" s="30">
        <f t="shared" si="14"/>
        <v>310</v>
      </c>
      <c r="K78" s="195"/>
      <c r="L78" s="27">
        <f t="shared" si="13"/>
        <v>367.81353955146915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4610700</v>
      </c>
      <c r="E79" s="1">
        <v>4640021</v>
      </c>
      <c r="F79" s="41">
        <f t="shared" si="9"/>
        <v>29.321000000000002</v>
      </c>
      <c r="G79" s="22">
        <f t="shared" si="10"/>
        <v>119.22931911850556</v>
      </c>
      <c r="H79" s="45">
        <f t="shared" si="11"/>
        <v>3.2350490085619517</v>
      </c>
      <c r="I79" s="42">
        <f t="shared" si="12"/>
        <v>122.46436812706752</v>
      </c>
      <c r="J79" s="30">
        <f t="shared" si="14"/>
        <v>310</v>
      </c>
      <c r="K79" s="195"/>
      <c r="L79" s="27">
        <f t="shared" si="13"/>
        <v>432.46436812706753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4864308</v>
      </c>
      <c r="E80" s="1">
        <v>4885935</v>
      </c>
      <c r="F80" s="41">
        <f t="shared" si="9"/>
        <v>21.626999999999999</v>
      </c>
      <c r="G80" s="22">
        <f t="shared" si="10"/>
        <v>87.942856129597189</v>
      </c>
      <c r="H80" s="45">
        <f t="shared" si="11"/>
        <v>3.2350490085619517</v>
      </c>
      <c r="I80" s="42">
        <f t="shared" si="12"/>
        <v>91.177905138159147</v>
      </c>
      <c r="J80" s="30">
        <f t="shared" si="14"/>
        <v>310</v>
      </c>
      <c r="K80" s="195"/>
      <c r="L80" s="27">
        <f t="shared" si="13"/>
        <v>401.17790513815913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3108841</v>
      </c>
      <c r="E81" s="1">
        <v>3123077</v>
      </c>
      <c r="F81" s="41">
        <f t="shared" si="9"/>
        <v>14.236000000000001</v>
      </c>
      <c r="G81" s="22">
        <f t="shared" si="10"/>
        <v>57.888495855224754</v>
      </c>
      <c r="H81" s="45">
        <f t="shared" si="11"/>
        <v>3.2350490085619517</v>
      </c>
      <c r="I81" s="42">
        <f t="shared" si="12"/>
        <v>61.123544863786705</v>
      </c>
      <c r="J81" s="30">
        <f t="shared" si="14"/>
        <v>310</v>
      </c>
      <c r="K81" s="195"/>
      <c r="L81" s="27">
        <f t="shared" si="13"/>
        <v>371.12354486378672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3409173</v>
      </c>
      <c r="E82" s="1">
        <v>3443477</v>
      </c>
      <c r="F82" s="41">
        <f t="shared" si="9"/>
        <v>34.304000000000002</v>
      </c>
      <c r="G82" s="22">
        <f t="shared" si="10"/>
        <v>139.49191920607123</v>
      </c>
      <c r="H82" s="45">
        <f t="shared" si="11"/>
        <v>3.2350490085619517</v>
      </c>
      <c r="I82" s="42">
        <f t="shared" si="12"/>
        <v>142.72696821463319</v>
      </c>
      <c r="J82" s="30">
        <f t="shared" si="14"/>
        <v>310</v>
      </c>
      <c r="K82" s="195"/>
      <c r="L82" s="27">
        <f t="shared" si="13"/>
        <v>452.72696821463319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4688872</v>
      </c>
      <c r="E83" s="1">
        <v>4726806</v>
      </c>
      <c r="F83" s="41">
        <f t="shared" si="9"/>
        <v>37.933999999999997</v>
      </c>
      <c r="G83" s="22">
        <f t="shared" si="10"/>
        <v>154.25275370694686</v>
      </c>
      <c r="H83" s="45">
        <f t="shared" si="11"/>
        <v>3.2350490085619517</v>
      </c>
      <c r="I83" s="42">
        <f t="shared" si="12"/>
        <v>157.48780271550882</v>
      </c>
      <c r="J83" s="30">
        <f t="shared" si="14"/>
        <v>310</v>
      </c>
      <c r="K83" s="195"/>
      <c r="L83" s="27">
        <f t="shared" si="13"/>
        <v>467.48780271550879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1787161</v>
      </c>
      <c r="E84" s="1">
        <v>1810225</v>
      </c>
      <c r="F84" s="41">
        <f t="shared" si="9"/>
        <v>23.064</v>
      </c>
      <c r="G84" s="22">
        <f>MMULT($G$1,1/$F$183)*F84</f>
        <v>93.78619474605955</v>
      </c>
      <c r="H84" s="45">
        <f t="shared" si="11"/>
        <v>3.2350490085619517</v>
      </c>
      <c r="I84" s="42">
        <f t="shared" si="12"/>
        <v>97.021243754621509</v>
      </c>
      <c r="J84" s="30">
        <f t="shared" si="14"/>
        <v>310</v>
      </c>
      <c r="K84" s="195"/>
      <c r="L84" s="27">
        <f t="shared" si="13"/>
        <v>407.02124375462154</v>
      </c>
    </row>
    <row r="85" spans="1:12" ht="15" customHeight="1" x14ac:dyDescent="0.45">
      <c r="A85" s="318"/>
      <c r="B85" s="5" t="s">
        <v>7</v>
      </c>
      <c r="C85" s="2">
        <v>103</v>
      </c>
      <c r="D85" s="1">
        <v>2999728</v>
      </c>
      <c r="E85" s="1">
        <v>3004025</v>
      </c>
      <c r="F85" s="41">
        <f t="shared" si="9"/>
        <v>4.2969999999999997</v>
      </c>
      <c r="G85" s="22">
        <f t="shared" si="10"/>
        <v>17.47308701109165</v>
      </c>
      <c r="H85" s="45">
        <f t="shared" si="11"/>
        <v>3.2350490085619517</v>
      </c>
      <c r="I85" s="42">
        <f t="shared" si="12"/>
        <v>20.708136019653601</v>
      </c>
      <c r="J85" s="30">
        <f t="shared" si="14"/>
        <v>310</v>
      </c>
      <c r="K85" s="195"/>
      <c r="L85" s="27">
        <f t="shared" si="13"/>
        <v>330.70813601965358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2571307</v>
      </c>
      <c r="E86" s="1">
        <v>2592245</v>
      </c>
      <c r="F86" s="41">
        <f t="shared" si="9"/>
        <v>20.937999999999999</v>
      </c>
      <c r="G86" s="22">
        <f t="shared" si="10"/>
        <v>85.141144016345592</v>
      </c>
      <c r="H86" s="45">
        <f t="shared" si="11"/>
        <v>3.2350490085619517</v>
      </c>
      <c r="I86" s="42">
        <f t="shared" si="12"/>
        <v>88.37619302490755</v>
      </c>
      <c r="J86" s="30">
        <f t="shared" si="14"/>
        <v>310</v>
      </c>
      <c r="K86" s="195"/>
      <c r="L86" s="27">
        <f t="shared" si="13"/>
        <v>398.37619302490754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5106207</v>
      </c>
      <c r="E87" s="1">
        <v>5135223</v>
      </c>
      <c r="F87" s="41">
        <f t="shared" si="9"/>
        <v>29.016000000000002</v>
      </c>
      <c r="G87" s="22">
        <f t="shared" si="10"/>
        <v>117.98908371278459</v>
      </c>
      <c r="H87" s="45">
        <f t="shared" si="11"/>
        <v>3.2350490085619517</v>
      </c>
      <c r="I87" s="42">
        <f t="shared" si="12"/>
        <v>121.22413272134655</v>
      </c>
      <c r="J87" s="30">
        <f t="shared" si="14"/>
        <v>310</v>
      </c>
      <c r="K87" s="195"/>
      <c r="L87" s="27">
        <f t="shared" si="13"/>
        <v>431.22413272134656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27444</v>
      </c>
      <c r="E88" s="1">
        <v>27444</v>
      </c>
      <c r="F88" s="41">
        <f>(E88-D88)*0.01</f>
        <v>0</v>
      </c>
      <c r="G88" s="22">
        <f t="shared" si="10"/>
        <v>0</v>
      </c>
      <c r="H88" s="45">
        <f t="shared" si="11"/>
        <v>3.2350490085619517</v>
      </c>
      <c r="I88" s="42">
        <f t="shared" si="12"/>
        <v>3.2350490085619517</v>
      </c>
      <c r="J88" s="30">
        <f t="shared" si="14"/>
        <v>310</v>
      </c>
      <c r="K88" s="195">
        <v>10</v>
      </c>
      <c r="L88" s="27">
        <f t="shared" si="13"/>
        <v>323.23504900856193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4405247</v>
      </c>
      <c r="E89" s="1">
        <v>4445102</v>
      </c>
      <c r="F89" s="41">
        <f>(E89-D89)*$N$1</f>
        <v>39.855000000000004</v>
      </c>
      <c r="G89" s="22">
        <f t="shared" si="10"/>
        <v>162.06420359019268</v>
      </c>
      <c r="H89" s="45">
        <f t="shared" si="11"/>
        <v>3.2350490085619517</v>
      </c>
      <c r="I89" s="42">
        <f t="shared" si="12"/>
        <v>165.29925259875463</v>
      </c>
      <c r="J89" s="30">
        <f t="shared" si="14"/>
        <v>310</v>
      </c>
      <c r="K89" s="195"/>
      <c r="L89" s="27">
        <f t="shared" si="13"/>
        <v>475.29925259875461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133043</v>
      </c>
      <c r="E90" s="1">
        <v>133067</v>
      </c>
      <c r="F90" s="41">
        <f>(E90-D90)*0.01</f>
        <v>0.24</v>
      </c>
      <c r="G90" s="22">
        <f t="shared" si="10"/>
        <v>0.97592294220665499</v>
      </c>
      <c r="H90" s="45">
        <f t="shared" si="11"/>
        <v>3.2350490085619517</v>
      </c>
      <c r="I90" s="42">
        <f t="shared" si="12"/>
        <v>4.2109719507686068</v>
      </c>
      <c r="J90" s="30">
        <f t="shared" si="14"/>
        <v>310</v>
      </c>
      <c r="K90" s="195"/>
      <c r="L90" s="27">
        <f t="shared" si="13"/>
        <v>314.21097195076862</v>
      </c>
    </row>
    <row r="91" spans="1:12" ht="15" customHeight="1" x14ac:dyDescent="0.45">
      <c r="A91" s="318"/>
      <c r="B91" s="5" t="s">
        <v>7</v>
      </c>
      <c r="C91" s="2">
        <v>301</v>
      </c>
      <c r="D91" s="1">
        <v>4962086</v>
      </c>
      <c r="E91" s="1">
        <v>4987124</v>
      </c>
      <c r="F91" s="41">
        <f t="shared" ref="F91:F103" si="15">(E91-D91)*$N$1</f>
        <v>25.038</v>
      </c>
      <c r="G91" s="22">
        <f t="shared" si="10"/>
        <v>101.81316094570928</v>
      </c>
      <c r="H91" s="45">
        <f t="shared" si="11"/>
        <v>3.2350490085619517</v>
      </c>
      <c r="I91" s="42">
        <f t="shared" si="12"/>
        <v>105.04820995427124</v>
      </c>
      <c r="J91" s="30">
        <f t="shared" si="14"/>
        <v>310</v>
      </c>
      <c r="K91" s="195">
        <v>10</v>
      </c>
      <c r="L91" s="27">
        <f t="shared" si="13"/>
        <v>425.04820995427121</v>
      </c>
    </row>
    <row r="92" spans="1:12" ht="15" customHeight="1" x14ac:dyDescent="0.45">
      <c r="A92" s="318"/>
      <c r="B92" s="5" t="s">
        <v>7</v>
      </c>
      <c r="C92" s="2">
        <v>302</v>
      </c>
      <c r="D92" s="1">
        <v>3382206</v>
      </c>
      <c r="E92" s="1">
        <v>3424974</v>
      </c>
      <c r="F92" s="41">
        <f t="shared" si="15"/>
        <v>42.768000000000001</v>
      </c>
      <c r="G92" s="22">
        <f t="shared" si="10"/>
        <v>173.90946830122593</v>
      </c>
      <c r="H92" s="45">
        <f t="shared" si="11"/>
        <v>3.2350490085619517</v>
      </c>
      <c r="I92" s="42">
        <f t="shared" si="12"/>
        <v>177.14451730978789</v>
      </c>
      <c r="J92" s="30">
        <f t="shared" si="14"/>
        <v>310</v>
      </c>
      <c r="K92" s="195"/>
      <c r="L92" s="27">
        <f t="shared" si="13"/>
        <v>487.14451730978789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4647440</v>
      </c>
      <c r="E93" s="1">
        <v>4720999</v>
      </c>
      <c r="F93" s="41">
        <f t="shared" si="15"/>
        <v>73.558999999999997</v>
      </c>
      <c r="G93" s="22">
        <f t="shared" si="10"/>
        <v>299.1163154407472</v>
      </c>
      <c r="H93" s="45">
        <f t="shared" si="11"/>
        <v>3.2350490085619517</v>
      </c>
      <c r="I93" s="42">
        <f t="shared" si="12"/>
        <v>302.35136444930913</v>
      </c>
      <c r="J93" s="30">
        <f t="shared" si="14"/>
        <v>310</v>
      </c>
      <c r="K93" s="195">
        <v>10</v>
      </c>
      <c r="L93" s="27">
        <f t="shared" si="13"/>
        <v>622.35136444930913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2439379</v>
      </c>
      <c r="E94" s="1">
        <v>2452376</v>
      </c>
      <c r="F94" s="41">
        <f t="shared" si="15"/>
        <v>12.997</v>
      </c>
      <c r="G94" s="22">
        <f t="shared" si="10"/>
        <v>52.850293666082898</v>
      </c>
      <c r="H94" s="45">
        <f t="shared" si="11"/>
        <v>3.2350490085619517</v>
      </c>
      <c r="I94" s="42">
        <f t="shared" si="12"/>
        <v>56.085342674644849</v>
      </c>
      <c r="J94" s="30">
        <f t="shared" si="14"/>
        <v>310</v>
      </c>
      <c r="K94" s="195"/>
      <c r="L94" s="27">
        <f t="shared" si="13"/>
        <v>366.08534267464483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3760306</v>
      </c>
      <c r="E95" s="1">
        <v>3782004</v>
      </c>
      <c r="F95" s="41">
        <f t="shared" si="15"/>
        <v>21.698</v>
      </c>
      <c r="G95" s="22">
        <f t="shared" si="10"/>
        <v>88.231566666666666</v>
      </c>
      <c r="H95" s="45">
        <f t="shared" si="11"/>
        <v>3.2350490085619517</v>
      </c>
      <c r="I95" s="42">
        <f t="shared" si="12"/>
        <v>91.466615675228624</v>
      </c>
      <c r="J95" s="30">
        <f t="shared" si="14"/>
        <v>310</v>
      </c>
      <c r="K95" s="195"/>
      <c r="L95" s="27">
        <f t="shared" si="13"/>
        <v>401.46661567522864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3248173</v>
      </c>
      <c r="E96" s="1">
        <v>3263712</v>
      </c>
      <c r="F96" s="41">
        <f t="shared" si="15"/>
        <v>15.539</v>
      </c>
      <c r="G96" s="22">
        <f t="shared" si="10"/>
        <v>63.186944162288384</v>
      </c>
      <c r="H96" s="45">
        <f t="shared" si="11"/>
        <v>3.2350490085619517</v>
      </c>
      <c r="I96" s="42">
        <f t="shared" si="12"/>
        <v>66.421993170850342</v>
      </c>
      <c r="J96" s="30">
        <f t="shared" si="14"/>
        <v>310</v>
      </c>
      <c r="K96" s="195"/>
      <c r="L96" s="27">
        <f t="shared" si="13"/>
        <v>376.42199317085033</v>
      </c>
    </row>
    <row r="97" spans="1:12" ht="15" customHeight="1" x14ac:dyDescent="0.45">
      <c r="A97" s="318"/>
      <c r="B97" s="5" t="s">
        <v>7</v>
      </c>
      <c r="C97" s="2">
        <v>403</v>
      </c>
      <c r="D97" s="1">
        <v>2977686</v>
      </c>
      <c r="E97" s="1">
        <v>2991885</v>
      </c>
      <c r="F97" s="41">
        <f t="shared" si="15"/>
        <v>14.199</v>
      </c>
      <c r="G97" s="22">
        <f t="shared" si="10"/>
        <v>57.738041068301229</v>
      </c>
      <c r="H97" s="45">
        <f t="shared" si="11"/>
        <v>3.2350490085619517</v>
      </c>
      <c r="I97" s="42">
        <f t="shared" si="12"/>
        <v>60.97309007686318</v>
      </c>
      <c r="J97" s="30">
        <f t="shared" si="14"/>
        <v>310</v>
      </c>
      <c r="K97" s="195"/>
      <c r="L97" s="27">
        <f t="shared" si="13"/>
        <v>370.97309007686317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3134647</v>
      </c>
      <c r="E98" s="1">
        <v>3155163</v>
      </c>
      <c r="F98" s="41">
        <f t="shared" si="15"/>
        <v>20.516000000000002</v>
      </c>
      <c r="G98" s="22">
        <f t="shared" si="10"/>
        <v>83.425146176298895</v>
      </c>
      <c r="H98" s="45">
        <f t="shared" si="11"/>
        <v>3.2350490085619517</v>
      </c>
      <c r="I98" s="42">
        <f t="shared" si="12"/>
        <v>86.660195184860854</v>
      </c>
      <c r="J98" s="30">
        <f t="shared" si="14"/>
        <v>310</v>
      </c>
      <c r="K98" s="195"/>
      <c r="L98" s="27">
        <f t="shared" si="13"/>
        <v>396.66019518486087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2727398</v>
      </c>
      <c r="E99" s="1">
        <v>2741080</v>
      </c>
      <c r="F99" s="41">
        <f t="shared" si="15"/>
        <v>13.682</v>
      </c>
      <c r="G99" s="22">
        <f t="shared" si="10"/>
        <v>55.635740396964394</v>
      </c>
      <c r="H99" s="45">
        <f t="shared" si="11"/>
        <v>3.2350490085619517</v>
      </c>
      <c r="I99" s="42">
        <f t="shared" si="12"/>
        <v>58.870789405526345</v>
      </c>
      <c r="J99" s="30">
        <f t="shared" si="14"/>
        <v>310</v>
      </c>
      <c r="K99" s="195"/>
      <c r="L99" s="27">
        <f t="shared" si="13"/>
        <v>368.87078940552635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2501346</v>
      </c>
      <c r="E100" s="1">
        <v>2507759</v>
      </c>
      <c r="F100" s="41">
        <f t="shared" si="15"/>
        <v>6.4130000000000003</v>
      </c>
      <c r="G100" s="22">
        <f t="shared" si="10"/>
        <v>26.077474284880328</v>
      </c>
      <c r="H100" s="45">
        <f t="shared" si="11"/>
        <v>3.2350490085619517</v>
      </c>
      <c r="I100" s="42">
        <f t="shared" si="12"/>
        <v>29.312523293442279</v>
      </c>
      <c r="J100" s="30">
        <f t="shared" si="14"/>
        <v>310</v>
      </c>
      <c r="K100" s="195"/>
      <c r="L100" s="27">
        <f t="shared" si="13"/>
        <v>339.31252329344227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3079176</v>
      </c>
      <c r="E101" s="1">
        <v>3103149</v>
      </c>
      <c r="F101" s="41">
        <f t="shared" si="15"/>
        <v>23.972999999999999</v>
      </c>
      <c r="G101" s="22">
        <f t="shared" si="10"/>
        <v>97.482502889667245</v>
      </c>
      <c r="H101" s="45">
        <f t="shared" si="11"/>
        <v>3.2350490085619517</v>
      </c>
      <c r="I101" s="42">
        <f t="shared" si="12"/>
        <v>100.7175518982292</v>
      </c>
      <c r="J101" s="30">
        <f t="shared" si="14"/>
        <v>310</v>
      </c>
      <c r="K101" s="195"/>
      <c r="L101" s="27">
        <f t="shared" si="13"/>
        <v>410.7175518982292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4057794</v>
      </c>
      <c r="E102" s="1">
        <v>4082389</v>
      </c>
      <c r="F102" s="41">
        <f t="shared" si="15"/>
        <v>24.594999999999999</v>
      </c>
      <c r="G102" s="22">
        <f t="shared" si="10"/>
        <v>100.0117698482195</v>
      </c>
      <c r="H102" s="45">
        <f t="shared" si="11"/>
        <v>3.2350490085619517</v>
      </c>
      <c r="I102" s="42">
        <f t="shared" si="12"/>
        <v>103.24681885678146</v>
      </c>
      <c r="J102" s="30">
        <f t="shared" si="14"/>
        <v>310</v>
      </c>
      <c r="K102" s="195"/>
      <c r="L102" s="27">
        <f t="shared" si="13"/>
        <v>413.24681885678149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3699361</v>
      </c>
      <c r="E103" s="1">
        <v>3730464</v>
      </c>
      <c r="F103" s="41">
        <f t="shared" si="15"/>
        <v>31.103000000000002</v>
      </c>
      <c r="G103" s="22">
        <f t="shared" si="10"/>
        <v>126.47554696438996</v>
      </c>
      <c r="H103" s="45">
        <f t="shared" si="11"/>
        <v>3.2350490085619517</v>
      </c>
      <c r="I103" s="42">
        <f t="shared" si="12"/>
        <v>129.71059597295192</v>
      </c>
      <c r="J103" s="30">
        <f t="shared" si="14"/>
        <v>310</v>
      </c>
      <c r="K103" s="195"/>
      <c r="L103" s="27">
        <f t="shared" si="13"/>
        <v>439.71059597295192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146576</v>
      </c>
      <c r="E104" s="1">
        <v>149327</v>
      </c>
      <c r="F104" s="41">
        <f>(E104-D104)*0.01</f>
        <v>27.51</v>
      </c>
      <c r="G104" s="22">
        <f t="shared" si="10"/>
        <v>111.86516725043784</v>
      </c>
      <c r="H104" s="45">
        <f t="shared" si="11"/>
        <v>3.2350490085619517</v>
      </c>
      <c r="I104" s="42">
        <f t="shared" si="12"/>
        <v>115.10021625899979</v>
      </c>
      <c r="J104" s="30">
        <f t="shared" si="14"/>
        <v>310</v>
      </c>
      <c r="K104" s="195"/>
      <c r="L104" s="27">
        <f t="shared" si="13"/>
        <v>425.10021625899981</v>
      </c>
    </row>
    <row r="105" spans="1:12" ht="15" customHeight="1" x14ac:dyDescent="0.45">
      <c r="A105" s="314"/>
      <c r="B105" s="5" t="s">
        <v>8</v>
      </c>
      <c r="C105" s="2">
        <v>103</v>
      </c>
      <c r="D105" s="1">
        <v>26932</v>
      </c>
      <c r="E105" s="1">
        <v>58569</v>
      </c>
      <c r="F105" s="41">
        <f t="shared" ref="F105:F123" si="16">(E105-D105)*$N$1</f>
        <v>31.637</v>
      </c>
      <c r="G105" s="22">
        <f t="shared" si="10"/>
        <v>128.64697551079976</v>
      </c>
      <c r="H105" s="45">
        <f t="shared" si="11"/>
        <v>3.2350490085619517</v>
      </c>
      <c r="I105" s="42">
        <f t="shared" si="12"/>
        <v>131.88202451936172</v>
      </c>
      <c r="J105" s="30">
        <f t="shared" si="14"/>
        <v>310</v>
      </c>
      <c r="K105" s="195">
        <v>10</v>
      </c>
      <c r="L105" s="27">
        <f t="shared" si="13"/>
        <v>451.88202451936172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441352</v>
      </c>
      <c r="E106" s="1">
        <v>442298</v>
      </c>
      <c r="F106" s="41">
        <f t="shared" si="16"/>
        <v>0.94600000000000006</v>
      </c>
      <c r="G106" s="22">
        <f t="shared" si="10"/>
        <v>3.8467629305312321</v>
      </c>
      <c r="H106" s="45">
        <f t="shared" si="11"/>
        <v>3.2350490085619517</v>
      </c>
      <c r="I106" s="42">
        <f t="shared" si="12"/>
        <v>7.0818119390931837</v>
      </c>
      <c r="J106" s="30">
        <f t="shared" si="14"/>
        <v>310</v>
      </c>
      <c r="K106" s="195"/>
      <c r="L106" s="27">
        <f t="shared" si="13"/>
        <v>317.0818119390932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2000</v>
      </c>
      <c r="E107" s="1">
        <v>2000</v>
      </c>
      <c r="F107" s="41">
        <f t="shared" si="16"/>
        <v>0</v>
      </c>
      <c r="G107" s="22">
        <f t="shared" si="10"/>
        <v>0</v>
      </c>
      <c r="H107" s="45">
        <f t="shared" si="11"/>
        <v>3.2350490085619517</v>
      </c>
      <c r="I107" s="42">
        <f t="shared" si="12"/>
        <v>3.2350490085619517</v>
      </c>
      <c r="J107" s="30">
        <f t="shared" si="14"/>
        <v>310</v>
      </c>
      <c r="K107" s="195"/>
      <c r="L107" s="27">
        <f t="shared" si="13"/>
        <v>313.23504900856193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66160</v>
      </c>
      <c r="E108" s="1">
        <v>89741</v>
      </c>
      <c r="F108" s="41">
        <f t="shared" si="16"/>
        <v>23.581</v>
      </c>
      <c r="G108" s="22">
        <f t="shared" si="10"/>
        <v>95.888495417396385</v>
      </c>
      <c r="H108" s="45">
        <f t="shared" si="11"/>
        <v>3.2350490085619517</v>
      </c>
      <c r="I108" s="42">
        <f t="shared" si="12"/>
        <v>99.123544425958343</v>
      </c>
      <c r="J108" s="30">
        <f t="shared" si="14"/>
        <v>310</v>
      </c>
      <c r="K108" s="195"/>
      <c r="L108" s="27">
        <f t="shared" si="13"/>
        <v>409.12354442595836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3554027</v>
      </c>
      <c r="E109" s="1">
        <v>3564199</v>
      </c>
      <c r="F109" s="41">
        <f t="shared" si="16"/>
        <v>10.172000000000001</v>
      </c>
      <c r="G109" s="22">
        <f t="shared" si="10"/>
        <v>41.362867367192067</v>
      </c>
      <c r="H109" s="45">
        <f t="shared" si="11"/>
        <v>3.2350490085619517</v>
      </c>
      <c r="I109" s="42">
        <f t="shared" si="12"/>
        <v>44.597916375754018</v>
      </c>
      <c r="J109" s="30">
        <f t="shared" si="14"/>
        <v>310</v>
      </c>
      <c r="K109" s="195"/>
      <c r="L109" s="27">
        <f t="shared" si="13"/>
        <v>354.59791637575404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1879700</v>
      </c>
      <c r="E110" s="1">
        <v>1903735</v>
      </c>
      <c r="F110" s="41">
        <f t="shared" si="16"/>
        <v>24.035</v>
      </c>
      <c r="G110" s="22">
        <f t="shared" si="10"/>
        <v>97.734616316403972</v>
      </c>
      <c r="H110" s="45">
        <f t="shared" si="11"/>
        <v>3.2350490085619517</v>
      </c>
      <c r="I110" s="42">
        <f t="shared" si="12"/>
        <v>100.96966532496593</v>
      </c>
      <c r="J110" s="30">
        <f t="shared" si="14"/>
        <v>310</v>
      </c>
      <c r="K110" s="195">
        <v>10</v>
      </c>
      <c r="L110" s="27">
        <f t="shared" si="13"/>
        <v>420.96966532496594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3610591</v>
      </c>
      <c r="E111" s="1">
        <v>3622377</v>
      </c>
      <c r="F111" s="41">
        <f t="shared" si="16"/>
        <v>11.786</v>
      </c>
      <c r="G111" s="22">
        <f t="shared" si="10"/>
        <v>47.925949153531818</v>
      </c>
      <c r="H111" s="45">
        <f t="shared" si="11"/>
        <v>3.2350490085619517</v>
      </c>
      <c r="I111" s="42">
        <f t="shared" si="12"/>
        <v>51.160998162093769</v>
      </c>
      <c r="J111" s="30">
        <f t="shared" si="14"/>
        <v>310</v>
      </c>
      <c r="K111" s="195"/>
      <c r="L111" s="27">
        <f t="shared" si="13"/>
        <v>361.16099816209379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3313100</v>
      </c>
      <c r="E112" s="1">
        <v>3322090</v>
      </c>
      <c r="F112" s="41">
        <f t="shared" si="16"/>
        <v>8.99</v>
      </c>
      <c r="G112" s="22">
        <f t="shared" si="10"/>
        <v>36.556446876824289</v>
      </c>
      <c r="H112" s="45">
        <f t="shared" si="11"/>
        <v>3.2350490085619517</v>
      </c>
      <c r="I112" s="42">
        <f t="shared" si="12"/>
        <v>39.79149588538624</v>
      </c>
      <c r="J112" s="30">
        <f t="shared" si="14"/>
        <v>310</v>
      </c>
      <c r="K112" s="195"/>
      <c r="L112" s="27">
        <f t="shared" si="13"/>
        <v>349.79149588538621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3572240</v>
      </c>
      <c r="E113" s="1">
        <v>3599997</v>
      </c>
      <c r="F113" s="41">
        <f t="shared" si="16"/>
        <v>27.757000000000001</v>
      </c>
      <c r="G113" s="22">
        <f t="shared" si="10"/>
        <v>112.86955461179218</v>
      </c>
      <c r="H113" s="45">
        <f t="shared" si="11"/>
        <v>3.2350490085619517</v>
      </c>
      <c r="I113" s="42">
        <f t="shared" si="12"/>
        <v>116.10460362035414</v>
      </c>
      <c r="J113" s="30">
        <f t="shared" si="14"/>
        <v>310</v>
      </c>
      <c r="K113" s="195"/>
      <c r="L113" s="27">
        <f t="shared" si="13"/>
        <v>426.10460362035417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0</v>
      </c>
      <c r="E114" s="1">
        <v>9392</v>
      </c>
      <c r="F114" s="41">
        <f t="shared" si="16"/>
        <v>9.3919999999999995</v>
      </c>
      <c r="G114" s="22">
        <f t="shared" si="10"/>
        <v>38.191117805020433</v>
      </c>
      <c r="H114" s="45">
        <f t="shared" si="11"/>
        <v>3.2350490085619517</v>
      </c>
      <c r="I114" s="42">
        <f t="shared" si="12"/>
        <v>41.426166813582384</v>
      </c>
      <c r="J114" s="30">
        <f t="shared" si="14"/>
        <v>310</v>
      </c>
      <c r="K114" s="195"/>
      <c r="L114" s="27">
        <f t="shared" si="13"/>
        <v>351.42616681358237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2742688</v>
      </c>
      <c r="E115" s="1">
        <v>2756540</v>
      </c>
      <c r="F115" s="41">
        <f t="shared" si="16"/>
        <v>13.852</v>
      </c>
      <c r="G115" s="22">
        <f t="shared" si="10"/>
        <v>56.327019147694109</v>
      </c>
      <c r="H115" s="45">
        <f t="shared" si="11"/>
        <v>3.2350490085619517</v>
      </c>
      <c r="I115" s="42">
        <f t="shared" si="12"/>
        <v>59.562068156256061</v>
      </c>
      <c r="J115" s="30">
        <f t="shared" si="14"/>
        <v>310</v>
      </c>
      <c r="K115" s="195"/>
      <c r="L115" s="27">
        <f t="shared" si="13"/>
        <v>369.56206815625603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3795</v>
      </c>
      <c r="E116" s="1">
        <v>4187</v>
      </c>
      <c r="F116" s="41">
        <f t="shared" si="16"/>
        <v>0.39200000000000002</v>
      </c>
      <c r="G116" s="22">
        <f t="shared" si="10"/>
        <v>1.5940074722708699</v>
      </c>
      <c r="H116" s="45">
        <f t="shared" si="11"/>
        <v>3.2350490085619517</v>
      </c>
      <c r="I116" s="42">
        <f t="shared" si="12"/>
        <v>4.829056480832822</v>
      </c>
      <c r="J116" s="30">
        <f t="shared" si="14"/>
        <v>310</v>
      </c>
      <c r="K116" s="195"/>
      <c r="L116" s="27">
        <f t="shared" si="13"/>
        <v>314.82905648083283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529773</v>
      </c>
      <c r="E117" s="1">
        <v>531163</v>
      </c>
      <c r="F117" s="41">
        <f t="shared" si="16"/>
        <v>1.3900000000000001</v>
      </c>
      <c r="G117" s="22">
        <f t="shared" si="10"/>
        <v>5.6522203736135443</v>
      </c>
      <c r="H117" s="45">
        <f t="shared" si="11"/>
        <v>3.2350490085619517</v>
      </c>
      <c r="I117" s="42">
        <f t="shared" si="12"/>
        <v>8.8872693821754964</v>
      </c>
      <c r="J117" s="30">
        <f t="shared" si="14"/>
        <v>310</v>
      </c>
      <c r="K117" s="195"/>
      <c r="L117" s="27">
        <f t="shared" si="13"/>
        <v>318.88726938217548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2666211</v>
      </c>
      <c r="E118" s="1">
        <v>2681697</v>
      </c>
      <c r="F118" s="41">
        <f t="shared" si="16"/>
        <v>15.486000000000001</v>
      </c>
      <c r="G118" s="22">
        <f t="shared" si="10"/>
        <v>62.971427845884421</v>
      </c>
      <c r="H118" s="45">
        <f t="shared" si="11"/>
        <v>3.2350490085619517</v>
      </c>
      <c r="I118" s="42">
        <f t="shared" si="12"/>
        <v>66.206476854446379</v>
      </c>
      <c r="J118" s="30">
        <f t="shared" si="14"/>
        <v>310</v>
      </c>
      <c r="K118" s="195">
        <v>10</v>
      </c>
      <c r="L118" s="27">
        <f t="shared" si="13"/>
        <v>386.20647685444635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2692513</v>
      </c>
      <c r="E119" s="1">
        <v>2712392</v>
      </c>
      <c r="F119" s="41">
        <f t="shared" si="16"/>
        <v>19.879000000000001</v>
      </c>
      <c r="G119" s="22">
        <f t="shared" si="10"/>
        <v>80.834884033858728</v>
      </c>
      <c r="H119" s="45">
        <f t="shared" si="11"/>
        <v>3.2350490085619517</v>
      </c>
      <c r="I119" s="42">
        <f t="shared" si="12"/>
        <v>84.069933042420686</v>
      </c>
      <c r="J119" s="30">
        <f t="shared" si="14"/>
        <v>310</v>
      </c>
      <c r="K119" s="195"/>
      <c r="L119" s="27">
        <f t="shared" si="13"/>
        <v>394.0699330424207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5734906</v>
      </c>
      <c r="E120" s="1">
        <v>5777481</v>
      </c>
      <c r="F120" s="41">
        <f t="shared" si="16"/>
        <v>42.575000000000003</v>
      </c>
      <c r="G120" s="22">
        <f t="shared" si="10"/>
        <v>173.12466360186809</v>
      </c>
      <c r="H120" s="45">
        <f t="shared" si="11"/>
        <v>3.2350490085619517</v>
      </c>
      <c r="I120" s="42">
        <f t="shared" si="12"/>
        <v>176.35971261043005</v>
      </c>
      <c r="J120" s="30">
        <f t="shared" si="14"/>
        <v>310</v>
      </c>
      <c r="K120" s="195"/>
      <c r="L120" s="27">
        <f t="shared" si="13"/>
        <v>486.35971261043005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43282</v>
      </c>
      <c r="E121" s="1">
        <v>53696</v>
      </c>
      <c r="F121" s="41">
        <f t="shared" si="16"/>
        <v>10.414</v>
      </c>
      <c r="G121" s="22">
        <f t="shared" si="10"/>
        <v>42.346923000583772</v>
      </c>
      <c r="H121" s="45">
        <f t="shared" si="11"/>
        <v>3.2350490085619517</v>
      </c>
      <c r="I121" s="42">
        <f t="shared" si="12"/>
        <v>45.581972009145723</v>
      </c>
      <c r="J121" s="30">
        <f t="shared" si="14"/>
        <v>310</v>
      </c>
      <c r="K121" s="195"/>
      <c r="L121" s="27">
        <f t="shared" si="13"/>
        <v>355.58197200914572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4224661</v>
      </c>
      <c r="E122" s="1">
        <v>4252387</v>
      </c>
      <c r="F122" s="41">
        <f t="shared" si="16"/>
        <v>27.725999999999999</v>
      </c>
      <c r="G122" s="22">
        <f t="shared" si="10"/>
        <v>112.74349789842381</v>
      </c>
      <c r="H122" s="45">
        <f t="shared" si="11"/>
        <v>3.2350490085619517</v>
      </c>
      <c r="I122" s="42">
        <f t="shared" si="12"/>
        <v>115.97854690698577</v>
      </c>
      <c r="J122" s="30">
        <f t="shared" si="14"/>
        <v>310</v>
      </c>
      <c r="K122" s="195"/>
      <c r="L122" s="27">
        <f t="shared" si="13"/>
        <v>425.9785469069858</v>
      </c>
    </row>
    <row r="123" spans="1:12" ht="15" customHeight="1" x14ac:dyDescent="0.45">
      <c r="A123" s="318"/>
      <c r="B123" s="5" t="s">
        <v>9</v>
      </c>
      <c r="C123" s="2">
        <v>101</v>
      </c>
      <c r="D123" s="1">
        <v>2924677</v>
      </c>
      <c r="E123" s="1">
        <v>2944378</v>
      </c>
      <c r="F123" s="41">
        <f t="shared" si="16"/>
        <v>19.701000000000001</v>
      </c>
      <c r="G123" s="22">
        <f t="shared" si="10"/>
        <v>80.11107451838879</v>
      </c>
      <c r="H123" s="45">
        <f t="shared" si="11"/>
        <v>3.2350490085619517</v>
      </c>
      <c r="I123" s="42">
        <f t="shared" si="12"/>
        <v>83.346123526950748</v>
      </c>
      <c r="J123" s="30">
        <f t="shared" si="14"/>
        <v>310</v>
      </c>
      <c r="K123" s="195"/>
      <c r="L123" s="27">
        <f t="shared" si="13"/>
        <v>393.34612352695075</v>
      </c>
    </row>
    <row r="124" spans="1:12" ht="15" customHeight="1" x14ac:dyDescent="0.45">
      <c r="A124" s="318"/>
      <c r="B124" s="5" t="s">
        <v>9</v>
      </c>
      <c r="C124" s="2">
        <v>102</v>
      </c>
      <c r="D124" s="1">
        <v>21593</v>
      </c>
      <c r="E124" s="1">
        <v>21879</v>
      </c>
      <c r="F124" s="41">
        <f>(E124-D124)*0.01</f>
        <v>2.86</v>
      </c>
      <c r="G124" s="22">
        <f>MMULT($G$1,1/$F$183)*F124</f>
        <v>11.629748394629305</v>
      </c>
      <c r="H124" s="45">
        <f t="shared" si="11"/>
        <v>3.2350490085619517</v>
      </c>
      <c r="I124" s="42">
        <f t="shared" si="12"/>
        <v>14.864797403191256</v>
      </c>
      <c r="J124" s="30">
        <f t="shared" si="14"/>
        <v>310</v>
      </c>
      <c r="K124" s="195"/>
      <c r="L124" s="27">
        <f t="shared" si="13"/>
        <v>324.86479740319123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2839767</v>
      </c>
      <c r="E125" s="1">
        <v>2870048</v>
      </c>
      <c r="F125" s="41">
        <f t="shared" ref="F125:F159" si="17">(E125-D125)*$N$1</f>
        <v>30.281000000000002</v>
      </c>
      <c r="G125" s="22">
        <f t="shared" si="10"/>
        <v>123.13301088733218</v>
      </c>
      <c r="H125" s="45">
        <f t="shared" si="11"/>
        <v>3.2350490085619517</v>
      </c>
      <c r="I125" s="42">
        <f t="shared" si="12"/>
        <v>126.36805989589413</v>
      </c>
      <c r="J125" s="30">
        <f t="shared" si="14"/>
        <v>310</v>
      </c>
      <c r="K125" s="195">
        <v>10</v>
      </c>
      <c r="L125" s="27">
        <f t="shared" si="13"/>
        <v>446.36805989589413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2878415</v>
      </c>
      <c r="E126" s="1">
        <v>2878473</v>
      </c>
      <c r="F126" s="41">
        <f t="shared" si="17"/>
        <v>5.8000000000000003E-2</v>
      </c>
      <c r="G126" s="22">
        <f t="shared" si="10"/>
        <v>0.23584804436660831</v>
      </c>
      <c r="H126" s="45">
        <f t="shared" si="11"/>
        <v>3.2350490085619517</v>
      </c>
      <c r="I126" s="42">
        <f t="shared" si="12"/>
        <v>3.4708970529285601</v>
      </c>
      <c r="J126" s="30">
        <f t="shared" si="14"/>
        <v>310</v>
      </c>
      <c r="K126" s="195"/>
      <c r="L126" s="27">
        <f t="shared" si="13"/>
        <v>313.47089705292854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2578921</v>
      </c>
      <c r="E127" s="1">
        <v>2591404</v>
      </c>
      <c r="F127" s="41">
        <f t="shared" si="17"/>
        <v>12.483000000000001</v>
      </c>
      <c r="G127" s="22">
        <f t="shared" si="10"/>
        <v>50.760192031523644</v>
      </c>
      <c r="H127" s="45">
        <f t="shared" si="11"/>
        <v>3.2350490085619517</v>
      </c>
      <c r="I127" s="42">
        <f t="shared" si="12"/>
        <v>53.995241040085595</v>
      </c>
      <c r="J127" s="30">
        <f t="shared" si="14"/>
        <v>310</v>
      </c>
      <c r="K127" s="195"/>
      <c r="L127" s="27">
        <f t="shared" si="13"/>
        <v>363.9952410400856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4698408</v>
      </c>
      <c r="E128" s="1">
        <v>4713513</v>
      </c>
      <c r="F128" s="41">
        <f t="shared" si="17"/>
        <v>15.105</v>
      </c>
      <c r="G128" s="22">
        <f t="shared" si="10"/>
        <v>61.42215017513135</v>
      </c>
      <c r="H128" s="45">
        <f t="shared" si="11"/>
        <v>3.2350490085619517</v>
      </c>
      <c r="I128" s="42">
        <f t="shared" si="12"/>
        <v>64.657199183693308</v>
      </c>
      <c r="J128" s="30">
        <f t="shared" si="14"/>
        <v>310</v>
      </c>
      <c r="K128" s="195"/>
      <c r="L128" s="27">
        <f t="shared" si="13"/>
        <v>374.65719918369331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2043938</v>
      </c>
      <c r="E129" s="1">
        <v>2043938</v>
      </c>
      <c r="F129" s="41">
        <f t="shared" si="17"/>
        <v>0</v>
      </c>
      <c r="G129" s="22">
        <f t="shared" si="10"/>
        <v>0</v>
      </c>
      <c r="H129" s="45">
        <f t="shared" si="11"/>
        <v>3.2350490085619517</v>
      </c>
      <c r="I129" s="42">
        <f t="shared" si="12"/>
        <v>3.2350490085619517</v>
      </c>
      <c r="J129" s="30">
        <f t="shared" si="14"/>
        <v>310</v>
      </c>
      <c r="K129" s="195"/>
      <c r="L129" s="27">
        <f t="shared" si="13"/>
        <v>313.23504900856193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2894083</v>
      </c>
      <c r="E130" s="1">
        <v>2902431</v>
      </c>
      <c r="F130" s="41">
        <f t="shared" si="17"/>
        <v>8.3480000000000008</v>
      </c>
      <c r="G130" s="22">
        <f t="shared" si="10"/>
        <v>33.945853006421487</v>
      </c>
      <c r="H130" s="45">
        <f t="shared" si="11"/>
        <v>3.2350490085619517</v>
      </c>
      <c r="I130" s="42">
        <f t="shared" si="12"/>
        <v>37.180902014983438</v>
      </c>
      <c r="J130" s="30">
        <f t="shared" si="14"/>
        <v>310</v>
      </c>
      <c r="K130" s="195"/>
      <c r="L130" s="27">
        <f t="shared" si="13"/>
        <v>347.18090201498342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2949763</v>
      </c>
      <c r="E131" s="1">
        <v>2967453</v>
      </c>
      <c r="F131" s="41">
        <f t="shared" si="17"/>
        <v>17.690000000000001</v>
      </c>
      <c r="G131" s="22">
        <f t="shared" si="10"/>
        <v>71.933653531815537</v>
      </c>
      <c r="H131" s="45">
        <f t="shared" si="11"/>
        <v>3.2350490085619517</v>
      </c>
      <c r="I131" s="42">
        <f t="shared" si="12"/>
        <v>75.168702540377495</v>
      </c>
      <c r="J131" s="30">
        <f t="shared" si="14"/>
        <v>310</v>
      </c>
      <c r="K131" s="195"/>
      <c r="L131" s="27">
        <f t="shared" si="13"/>
        <v>385.16870254037747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1859344</v>
      </c>
      <c r="E132" s="1">
        <v>1860599</v>
      </c>
      <c r="F132" s="41">
        <f t="shared" si="17"/>
        <v>1.2550000000000001</v>
      </c>
      <c r="G132" s="22">
        <f t="shared" ref="G132:G182" si="18">MMULT($G$1,1/$F$183)*F132</f>
        <v>5.1032637186223004</v>
      </c>
      <c r="H132" s="45">
        <f t="shared" ref="H132:H182" si="19">MMULT($H$1,1/180)</f>
        <v>3.2350490085619517</v>
      </c>
      <c r="I132" s="42">
        <f t="shared" ref="I132:I182" si="20">SUM(G132,H132)</f>
        <v>8.3383127271842525</v>
      </c>
      <c r="J132" s="30">
        <f t="shared" si="14"/>
        <v>310</v>
      </c>
      <c r="K132" s="195"/>
      <c r="L132" s="27">
        <f t="shared" ref="L132:L182" si="21">SUM(I132,J132,K132)</f>
        <v>318.33831272718425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3385634</v>
      </c>
      <c r="E133" s="1">
        <v>3397421</v>
      </c>
      <c r="F133" s="41">
        <f t="shared" si="17"/>
        <v>11.787000000000001</v>
      </c>
      <c r="G133" s="22">
        <f t="shared" si="18"/>
        <v>47.930015499124345</v>
      </c>
      <c r="H133" s="45">
        <f t="shared" si="19"/>
        <v>3.2350490085619517</v>
      </c>
      <c r="I133" s="42">
        <f t="shared" si="20"/>
        <v>51.165064507686296</v>
      </c>
      <c r="J133" s="30">
        <f t="shared" ref="J133:J182" si="22">SUM($J$3)</f>
        <v>310</v>
      </c>
      <c r="K133" s="195"/>
      <c r="L133" s="27">
        <f t="shared" si="21"/>
        <v>361.16506450768628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3927802</v>
      </c>
      <c r="E134" s="1">
        <v>3949507</v>
      </c>
      <c r="F134" s="41">
        <f t="shared" si="17"/>
        <v>21.705000000000002</v>
      </c>
      <c r="G134" s="22">
        <f t="shared" si="18"/>
        <v>88.260031085814376</v>
      </c>
      <c r="H134" s="45">
        <f t="shared" si="19"/>
        <v>3.2350490085619517</v>
      </c>
      <c r="I134" s="42">
        <f t="shared" si="20"/>
        <v>91.495080094376334</v>
      </c>
      <c r="J134" s="30">
        <f t="shared" si="22"/>
        <v>310</v>
      </c>
      <c r="K134" s="195"/>
      <c r="L134" s="27">
        <f t="shared" si="21"/>
        <v>401.49508009437636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1891509</v>
      </c>
      <c r="E135" s="1">
        <v>1898491</v>
      </c>
      <c r="F135" s="41">
        <f t="shared" si="17"/>
        <v>6.9820000000000002</v>
      </c>
      <c r="G135" s="22">
        <f t="shared" si="18"/>
        <v>28.391224927028606</v>
      </c>
      <c r="H135" s="45">
        <f t="shared" si="19"/>
        <v>3.2350490085619517</v>
      </c>
      <c r="I135" s="42">
        <f t="shared" si="20"/>
        <v>31.626273935590557</v>
      </c>
      <c r="J135" s="30">
        <f t="shared" si="22"/>
        <v>310</v>
      </c>
      <c r="K135" s="195"/>
      <c r="L135" s="27">
        <f t="shared" si="21"/>
        <v>341.62627393559058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2010323</v>
      </c>
      <c r="E136" s="1">
        <v>2010323</v>
      </c>
      <c r="F136" s="41">
        <f t="shared" si="17"/>
        <v>0</v>
      </c>
      <c r="G136" s="22">
        <f t="shared" si="18"/>
        <v>0</v>
      </c>
      <c r="H136" s="45">
        <f t="shared" si="19"/>
        <v>3.2350490085619517</v>
      </c>
      <c r="I136" s="42">
        <f t="shared" si="20"/>
        <v>3.2350490085619517</v>
      </c>
      <c r="J136" s="30">
        <f t="shared" si="22"/>
        <v>310</v>
      </c>
      <c r="K136" s="195"/>
      <c r="L136" s="27">
        <f t="shared" si="21"/>
        <v>313.23504900856193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4419742</v>
      </c>
      <c r="E137" s="1">
        <v>4445207</v>
      </c>
      <c r="F137" s="41">
        <f t="shared" si="17"/>
        <v>25.465</v>
      </c>
      <c r="G137" s="22">
        <f t="shared" si="18"/>
        <v>103.54949051371862</v>
      </c>
      <c r="H137" s="45">
        <f t="shared" si="19"/>
        <v>3.2350490085619517</v>
      </c>
      <c r="I137" s="42">
        <f t="shared" si="20"/>
        <v>106.78453952228058</v>
      </c>
      <c r="J137" s="30">
        <f t="shared" si="22"/>
        <v>310</v>
      </c>
      <c r="K137" s="195"/>
      <c r="L137" s="27">
        <f t="shared" si="21"/>
        <v>416.78453952228057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2406321</v>
      </c>
      <c r="E138" s="1">
        <v>2422587</v>
      </c>
      <c r="F138" s="41">
        <f t="shared" si="17"/>
        <v>16.266000000000002</v>
      </c>
      <c r="G138" s="22">
        <f t="shared" si="18"/>
        <v>66.143177408056047</v>
      </c>
      <c r="H138" s="45">
        <f t="shared" si="19"/>
        <v>3.2350490085619517</v>
      </c>
      <c r="I138" s="42">
        <f t="shared" si="20"/>
        <v>69.378226416618006</v>
      </c>
      <c r="J138" s="30">
        <f t="shared" si="22"/>
        <v>310</v>
      </c>
      <c r="K138" s="195"/>
      <c r="L138" s="27">
        <f t="shared" si="21"/>
        <v>379.37822641661802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3032899</v>
      </c>
      <c r="E139" s="1">
        <v>3054172</v>
      </c>
      <c r="F139" s="41">
        <f t="shared" si="17"/>
        <v>21.273</v>
      </c>
      <c r="G139" s="22">
        <f t="shared" si="18"/>
        <v>86.503369789842381</v>
      </c>
      <c r="H139" s="45">
        <f t="shared" si="19"/>
        <v>3.2350490085619517</v>
      </c>
      <c r="I139" s="42">
        <f t="shared" si="20"/>
        <v>89.738418798404339</v>
      </c>
      <c r="J139" s="30">
        <f t="shared" si="22"/>
        <v>310</v>
      </c>
      <c r="K139" s="195"/>
      <c r="L139" s="27">
        <f t="shared" si="21"/>
        <v>399.73841879840433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2999844</v>
      </c>
      <c r="E140" s="1">
        <v>3010025</v>
      </c>
      <c r="F140" s="41">
        <f t="shared" si="17"/>
        <v>10.181000000000001</v>
      </c>
      <c r="G140" s="22">
        <f t="shared" si="18"/>
        <v>41.399464477524816</v>
      </c>
      <c r="H140" s="45">
        <f t="shared" si="19"/>
        <v>3.2350490085619517</v>
      </c>
      <c r="I140" s="42">
        <f t="shared" si="20"/>
        <v>44.634513486086767</v>
      </c>
      <c r="J140" s="30">
        <f t="shared" si="22"/>
        <v>310</v>
      </c>
      <c r="K140" s="195"/>
      <c r="L140" s="27">
        <f t="shared" si="21"/>
        <v>354.63451348608675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2974990</v>
      </c>
      <c r="E141" s="1">
        <v>2979658</v>
      </c>
      <c r="F141" s="41">
        <f t="shared" si="17"/>
        <v>4.6680000000000001</v>
      </c>
      <c r="G141" s="22">
        <f t="shared" si="18"/>
        <v>18.981701225919441</v>
      </c>
      <c r="H141" s="45">
        <f t="shared" si="19"/>
        <v>3.2350490085619517</v>
      </c>
      <c r="I141" s="42">
        <f t="shared" si="20"/>
        <v>22.216750234481392</v>
      </c>
      <c r="J141" s="30">
        <f t="shared" si="22"/>
        <v>310</v>
      </c>
      <c r="K141" s="195"/>
      <c r="L141" s="27">
        <f>SUM(I141,J141,K141)</f>
        <v>332.21675023448137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3047195</v>
      </c>
      <c r="E142" s="1">
        <v>3054177</v>
      </c>
      <c r="F142" s="41">
        <f t="shared" si="17"/>
        <v>6.9820000000000002</v>
      </c>
      <c r="G142" s="22">
        <f t="shared" si="18"/>
        <v>28.391224927028606</v>
      </c>
      <c r="H142" s="45">
        <f t="shared" si="19"/>
        <v>3.2350490085619517</v>
      </c>
      <c r="I142" s="42">
        <f t="shared" si="20"/>
        <v>31.626273935590557</v>
      </c>
      <c r="J142" s="30">
        <f t="shared" si="22"/>
        <v>310</v>
      </c>
      <c r="K142" s="195"/>
      <c r="L142" s="27">
        <f t="shared" si="21"/>
        <v>341.62627393559058</v>
      </c>
    </row>
    <row r="143" spans="1:12" x14ac:dyDescent="0.45">
      <c r="A143" s="314"/>
      <c r="B143" s="5" t="s">
        <v>10</v>
      </c>
      <c r="C143" s="2">
        <v>101</v>
      </c>
      <c r="D143" s="1">
        <v>3643620</v>
      </c>
      <c r="E143" s="1">
        <v>3664283</v>
      </c>
      <c r="F143" s="41">
        <f t="shared" si="17"/>
        <v>20.663</v>
      </c>
      <c r="G143" s="22">
        <f t="shared" si="18"/>
        <v>84.022898978400463</v>
      </c>
      <c r="H143" s="45">
        <f t="shared" si="19"/>
        <v>3.2350490085619517</v>
      </c>
      <c r="I143" s="42">
        <f t="shared" si="20"/>
        <v>87.257947986962421</v>
      </c>
      <c r="J143" s="30">
        <f t="shared" si="22"/>
        <v>310</v>
      </c>
      <c r="K143" s="195"/>
      <c r="L143" s="27">
        <f t="shared" si="21"/>
        <v>397.25794798696245</v>
      </c>
    </row>
    <row r="144" spans="1:12" x14ac:dyDescent="0.45">
      <c r="A144" s="314"/>
      <c r="B144" s="5" t="s">
        <v>10</v>
      </c>
      <c r="C144" s="2">
        <v>102</v>
      </c>
      <c r="D144" s="1">
        <v>4024864</v>
      </c>
      <c r="E144" s="1">
        <v>4035739</v>
      </c>
      <c r="F144" s="41">
        <f t="shared" si="17"/>
        <v>10.875</v>
      </c>
      <c r="G144" s="22">
        <f t="shared" si="18"/>
        <v>44.221508318739055</v>
      </c>
      <c r="H144" s="45">
        <f t="shared" si="19"/>
        <v>3.2350490085619517</v>
      </c>
      <c r="I144" s="42">
        <f t="shared" si="20"/>
        <v>47.456557327301006</v>
      </c>
      <c r="J144" s="30">
        <f t="shared" si="22"/>
        <v>310</v>
      </c>
      <c r="K144" s="195"/>
      <c r="L144" s="27">
        <f t="shared" si="21"/>
        <v>357.45655732730103</v>
      </c>
    </row>
    <row r="145" spans="1:12" x14ac:dyDescent="0.45">
      <c r="A145" s="314"/>
      <c r="B145" s="5" t="s">
        <v>10</v>
      </c>
      <c r="C145" s="2">
        <v>103</v>
      </c>
      <c r="D145" s="1">
        <v>3932293</v>
      </c>
      <c r="E145" s="1">
        <v>3944558</v>
      </c>
      <c r="F145" s="41">
        <f t="shared" si="17"/>
        <v>12.265000000000001</v>
      </c>
      <c r="G145" s="22">
        <f t="shared" si="18"/>
        <v>49.8737286923526</v>
      </c>
      <c r="H145" s="45">
        <f t="shared" si="19"/>
        <v>3.2350490085619517</v>
      </c>
      <c r="I145" s="42">
        <f t="shared" si="20"/>
        <v>53.108777700914551</v>
      </c>
      <c r="J145" s="30">
        <f t="shared" si="22"/>
        <v>310</v>
      </c>
      <c r="K145" s="195"/>
      <c r="L145" s="27">
        <f t="shared" si="21"/>
        <v>363.10877770091457</v>
      </c>
    </row>
    <row r="146" spans="1:12" x14ac:dyDescent="0.45">
      <c r="A146" s="314"/>
      <c r="B146" s="5" t="s">
        <v>10</v>
      </c>
      <c r="C146" s="2">
        <v>104</v>
      </c>
      <c r="D146" s="1">
        <v>2916142</v>
      </c>
      <c r="E146" s="1">
        <v>2930670</v>
      </c>
      <c r="F146" s="41">
        <f t="shared" si="17"/>
        <v>14.528</v>
      </c>
      <c r="G146" s="22">
        <f t="shared" si="18"/>
        <v>59.075868768242849</v>
      </c>
      <c r="H146" s="45">
        <f t="shared" si="19"/>
        <v>3.2350490085619517</v>
      </c>
      <c r="I146" s="42">
        <f t="shared" si="20"/>
        <v>62.3109177768048</v>
      </c>
      <c r="J146" s="30">
        <f t="shared" si="22"/>
        <v>310</v>
      </c>
      <c r="K146" s="195"/>
      <c r="L146" s="27">
        <f t="shared" si="21"/>
        <v>372.31091777680479</v>
      </c>
    </row>
    <row r="147" spans="1:12" x14ac:dyDescent="0.45">
      <c r="A147" s="314"/>
      <c r="B147" s="5" t="s">
        <v>10</v>
      </c>
      <c r="C147" s="2">
        <v>201</v>
      </c>
      <c r="D147" s="1">
        <v>5229841</v>
      </c>
      <c r="E147" s="1">
        <v>5281571</v>
      </c>
      <c r="F147" s="41">
        <f t="shared" si="17"/>
        <v>51.730000000000004</v>
      </c>
      <c r="G147" s="22">
        <f t="shared" si="18"/>
        <v>210.35205750145946</v>
      </c>
      <c r="H147" s="45">
        <f t="shared" si="19"/>
        <v>3.2350490085619517</v>
      </c>
      <c r="I147" s="42">
        <f t="shared" si="20"/>
        <v>213.58710651002141</v>
      </c>
      <c r="J147" s="30">
        <f t="shared" si="22"/>
        <v>310</v>
      </c>
      <c r="K147" s="195"/>
      <c r="L147" s="27">
        <f t="shared" si="21"/>
        <v>523.58710651002139</v>
      </c>
    </row>
    <row r="148" spans="1:12" x14ac:dyDescent="0.45">
      <c r="A148" s="314"/>
      <c r="B148" s="5" t="s">
        <v>10</v>
      </c>
      <c r="C148" s="2">
        <v>202</v>
      </c>
      <c r="D148" s="1">
        <v>3385844</v>
      </c>
      <c r="E148" s="1">
        <v>3395269</v>
      </c>
      <c r="F148" s="41">
        <f t="shared" si="17"/>
        <v>9.4250000000000007</v>
      </c>
      <c r="G148" s="22">
        <f t="shared" si="18"/>
        <v>38.32530720957385</v>
      </c>
      <c r="H148" s="45">
        <f t="shared" si="19"/>
        <v>3.2350490085619517</v>
      </c>
      <c r="I148" s="42">
        <f t="shared" si="20"/>
        <v>41.560356218135801</v>
      </c>
      <c r="J148" s="30">
        <f t="shared" si="22"/>
        <v>310</v>
      </c>
      <c r="K148" s="195"/>
      <c r="L148" s="27">
        <f t="shared" si="21"/>
        <v>351.56035621813578</v>
      </c>
    </row>
    <row r="149" spans="1:12" x14ac:dyDescent="0.45">
      <c r="A149" s="314"/>
      <c r="B149" s="5" t="s">
        <v>10</v>
      </c>
      <c r="C149" s="2">
        <v>203</v>
      </c>
      <c r="D149" s="1">
        <v>3402393</v>
      </c>
      <c r="E149" s="1">
        <v>3419910</v>
      </c>
      <c r="F149" s="41">
        <f t="shared" si="17"/>
        <v>17.516999999999999</v>
      </c>
      <c r="G149" s="22">
        <f t="shared" si="18"/>
        <v>71.230175744308227</v>
      </c>
      <c r="H149" s="45">
        <f t="shared" si="19"/>
        <v>3.2350490085619517</v>
      </c>
      <c r="I149" s="42">
        <f t="shared" si="20"/>
        <v>74.465224752870185</v>
      </c>
      <c r="J149" s="30">
        <f t="shared" si="22"/>
        <v>310</v>
      </c>
      <c r="K149" s="195"/>
      <c r="L149" s="27">
        <f t="shared" si="21"/>
        <v>384.4652247528702</v>
      </c>
    </row>
    <row r="150" spans="1:12" x14ac:dyDescent="0.45">
      <c r="A150" s="314"/>
      <c r="B150" s="5" t="s">
        <v>10</v>
      </c>
      <c r="C150" s="2">
        <v>204</v>
      </c>
      <c r="D150" s="1">
        <v>1892132</v>
      </c>
      <c r="E150" s="1">
        <v>1899811</v>
      </c>
      <c r="F150" s="41">
        <f t="shared" si="17"/>
        <v>7.6790000000000003</v>
      </c>
      <c r="G150" s="22">
        <f t="shared" si="18"/>
        <v>31.225467805020433</v>
      </c>
      <c r="H150" s="45">
        <f t="shared" si="19"/>
        <v>3.2350490085619517</v>
      </c>
      <c r="I150" s="42">
        <f t="shared" si="20"/>
        <v>34.460516813582387</v>
      </c>
      <c r="J150" s="30">
        <f t="shared" si="22"/>
        <v>310</v>
      </c>
      <c r="K150" s="195"/>
      <c r="L150" s="27">
        <f t="shared" si="21"/>
        <v>344.46051681358239</v>
      </c>
    </row>
    <row r="151" spans="1:12" x14ac:dyDescent="0.45">
      <c r="A151" s="314"/>
      <c r="B151" s="5" t="s">
        <v>10</v>
      </c>
      <c r="C151" s="2">
        <v>301</v>
      </c>
      <c r="D151" s="1">
        <v>2310813</v>
      </c>
      <c r="E151" s="1">
        <v>2325752</v>
      </c>
      <c r="F151" s="41">
        <f t="shared" si="17"/>
        <v>14.939</v>
      </c>
      <c r="G151" s="22">
        <f t="shared" si="18"/>
        <v>60.747136806771749</v>
      </c>
      <c r="H151" s="45">
        <f t="shared" si="19"/>
        <v>3.2350490085619517</v>
      </c>
      <c r="I151" s="42">
        <f t="shared" si="20"/>
        <v>63.9821858153337</v>
      </c>
      <c r="J151" s="30">
        <f t="shared" si="22"/>
        <v>310</v>
      </c>
      <c r="K151" s="195"/>
      <c r="L151" s="27">
        <f t="shared" si="21"/>
        <v>373.98218581533371</v>
      </c>
    </row>
    <row r="152" spans="1:12" x14ac:dyDescent="0.45">
      <c r="A152" s="314"/>
      <c r="B152" s="5" t="s">
        <v>10</v>
      </c>
      <c r="C152" s="2">
        <v>302</v>
      </c>
      <c r="D152" s="1">
        <v>4158251</v>
      </c>
      <c r="E152" s="1">
        <v>4180122</v>
      </c>
      <c r="F152" s="41">
        <f t="shared" si="17"/>
        <v>21.871000000000002</v>
      </c>
      <c r="G152" s="22">
        <f t="shared" si="18"/>
        <v>88.935044454173976</v>
      </c>
      <c r="H152" s="45">
        <f t="shared" si="19"/>
        <v>3.2350490085619517</v>
      </c>
      <c r="I152" s="42">
        <f t="shared" si="20"/>
        <v>92.170093462735935</v>
      </c>
      <c r="J152" s="30">
        <f t="shared" si="22"/>
        <v>310</v>
      </c>
      <c r="K152" s="195">
        <v>10</v>
      </c>
      <c r="L152" s="27">
        <f t="shared" si="21"/>
        <v>412.17009346273596</v>
      </c>
    </row>
    <row r="153" spans="1:12" x14ac:dyDescent="0.45">
      <c r="A153" s="314"/>
      <c r="B153" s="5" t="s">
        <v>10</v>
      </c>
      <c r="C153" s="2">
        <v>303</v>
      </c>
      <c r="D153" s="1">
        <v>2627045</v>
      </c>
      <c r="E153" s="1">
        <v>2632251</v>
      </c>
      <c r="F153" s="41">
        <f t="shared" si="17"/>
        <v>5.2060000000000004</v>
      </c>
      <c r="G153" s="22">
        <f t="shared" si="18"/>
        <v>21.169395154699359</v>
      </c>
      <c r="H153" s="45">
        <f t="shared" si="19"/>
        <v>3.2350490085619517</v>
      </c>
      <c r="I153" s="42">
        <f t="shared" si="20"/>
        <v>24.40444416326131</v>
      </c>
      <c r="J153" s="30">
        <f t="shared" si="22"/>
        <v>310</v>
      </c>
      <c r="K153" s="195"/>
      <c r="L153" s="27">
        <f>SUM(I153,J153,K153)</f>
        <v>334.4044441632613</v>
      </c>
    </row>
    <row r="154" spans="1:12" x14ac:dyDescent="0.45">
      <c r="A154" s="314"/>
      <c r="B154" s="5" t="s">
        <v>10</v>
      </c>
      <c r="C154" s="2">
        <v>304</v>
      </c>
      <c r="D154" s="1">
        <v>2279427</v>
      </c>
      <c r="E154" s="1">
        <v>2301257</v>
      </c>
      <c r="F154" s="41">
        <f t="shared" si="17"/>
        <v>21.830000000000002</v>
      </c>
      <c r="G154" s="22">
        <f t="shared" si="18"/>
        <v>88.768324284880336</v>
      </c>
      <c r="H154" s="45">
        <f t="shared" si="19"/>
        <v>3.2350490085619517</v>
      </c>
      <c r="I154" s="42">
        <f t="shared" si="20"/>
        <v>92.003373293442294</v>
      </c>
      <c r="J154" s="30">
        <f t="shared" si="22"/>
        <v>310</v>
      </c>
      <c r="K154" s="195">
        <v>300</v>
      </c>
      <c r="L154" s="27">
        <f t="shared" si="21"/>
        <v>702.00337329344234</v>
      </c>
    </row>
    <row r="155" spans="1:12" x14ac:dyDescent="0.45">
      <c r="A155" s="314"/>
      <c r="B155" s="5" t="s">
        <v>10</v>
      </c>
      <c r="C155" s="2">
        <v>401</v>
      </c>
      <c r="D155" s="1">
        <v>4859094</v>
      </c>
      <c r="E155" s="1">
        <v>4896744</v>
      </c>
      <c r="F155" s="41">
        <f t="shared" si="17"/>
        <v>37.65</v>
      </c>
      <c r="G155" s="22">
        <f t="shared" si="18"/>
        <v>153.09791155866901</v>
      </c>
      <c r="H155" s="45">
        <f t="shared" si="19"/>
        <v>3.2350490085619517</v>
      </c>
      <c r="I155" s="42">
        <f t="shared" si="20"/>
        <v>156.33296056723097</v>
      </c>
      <c r="J155" s="30">
        <f t="shared" si="22"/>
        <v>310</v>
      </c>
      <c r="K155" s="195">
        <v>10</v>
      </c>
      <c r="L155" s="27">
        <f t="shared" si="21"/>
        <v>476.332960567231</v>
      </c>
    </row>
    <row r="156" spans="1:12" x14ac:dyDescent="0.45">
      <c r="A156" s="314"/>
      <c r="B156" s="5" t="s">
        <v>10</v>
      </c>
      <c r="C156" s="2">
        <v>402</v>
      </c>
      <c r="D156" s="1">
        <v>3719001</v>
      </c>
      <c r="E156" s="1">
        <v>3734792</v>
      </c>
      <c r="F156" s="41">
        <f t="shared" si="17"/>
        <v>15.791</v>
      </c>
      <c r="G156" s="22">
        <f t="shared" si="18"/>
        <v>64.211663251605373</v>
      </c>
      <c r="H156" s="45">
        <f t="shared" si="19"/>
        <v>3.2350490085619517</v>
      </c>
      <c r="I156" s="42">
        <f t="shared" si="20"/>
        <v>67.446712260167331</v>
      </c>
      <c r="J156" s="30">
        <f t="shared" si="22"/>
        <v>310</v>
      </c>
      <c r="K156" s="195"/>
      <c r="L156" s="27">
        <f t="shared" si="21"/>
        <v>377.44671226016732</v>
      </c>
    </row>
    <row r="157" spans="1:12" x14ac:dyDescent="0.45">
      <c r="A157" s="314"/>
      <c r="B157" s="5" t="s">
        <v>10</v>
      </c>
      <c r="C157" s="2">
        <v>403</v>
      </c>
      <c r="D157" s="1">
        <v>7228</v>
      </c>
      <c r="E157" s="1">
        <v>15639</v>
      </c>
      <c r="F157" s="41">
        <f t="shared" si="17"/>
        <v>8.4109999999999996</v>
      </c>
      <c r="G157" s="22">
        <f t="shared" si="18"/>
        <v>34.202032778750727</v>
      </c>
      <c r="H157" s="45">
        <f t="shared" si="19"/>
        <v>3.2350490085619517</v>
      </c>
      <c r="I157" s="42">
        <f t="shared" si="20"/>
        <v>37.437081787312678</v>
      </c>
      <c r="J157" s="30">
        <f t="shared" si="22"/>
        <v>310</v>
      </c>
      <c r="K157" s="195"/>
      <c r="L157" s="27">
        <f t="shared" si="21"/>
        <v>347.43708178731265</v>
      </c>
    </row>
    <row r="158" spans="1:12" x14ac:dyDescent="0.45">
      <c r="A158" s="314"/>
      <c r="B158" s="5" t="s">
        <v>10</v>
      </c>
      <c r="C158" s="2">
        <v>404</v>
      </c>
      <c r="D158" s="1">
        <v>48097</v>
      </c>
      <c r="E158" s="1">
        <v>65827</v>
      </c>
      <c r="F158" s="41">
        <f>(E158-D158)*$N$1</f>
        <v>17.73</v>
      </c>
      <c r="G158" s="22">
        <f>MMULT($G$1,1/$F$183)*F158</f>
        <v>72.096307355516643</v>
      </c>
      <c r="H158" s="45">
        <f t="shared" si="19"/>
        <v>3.2350490085619517</v>
      </c>
      <c r="I158" s="42">
        <f t="shared" si="20"/>
        <v>75.331356364078601</v>
      </c>
      <c r="J158" s="30">
        <f t="shared" si="22"/>
        <v>310</v>
      </c>
      <c r="K158" s="195"/>
      <c r="L158" s="27">
        <f>SUM(I158,J158,K158)</f>
        <v>385.3313563640786</v>
      </c>
    </row>
    <row r="159" spans="1:12" x14ac:dyDescent="0.45">
      <c r="A159" s="314"/>
      <c r="B159" s="5" t="s">
        <v>10</v>
      </c>
      <c r="C159" s="2">
        <v>501</v>
      </c>
      <c r="D159" s="1">
        <v>92222</v>
      </c>
      <c r="E159" s="1">
        <v>110219</v>
      </c>
      <c r="F159" s="41">
        <f t="shared" si="17"/>
        <v>17.997</v>
      </c>
      <c r="G159" s="22">
        <f>MMULT($G$1,1/$F$183)*F159</f>
        <v>73.182021628721543</v>
      </c>
      <c r="H159" s="45">
        <f t="shared" si="19"/>
        <v>3.2350490085619517</v>
      </c>
      <c r="I159" s="42">
        <f t="shared" si="20"/>
        <v>76.417070637283501</v>
      </c>
      <c r="J159" s="30">
        <f t="shared" si="22"/>
        <v>310</v>
      </c>
      <c r="K159" s="195"/>
      <c r="L159" s="27">
        <f>SUM(I159,J159,K159)</f>
        <v>386.41707063728347</v>
      </c>
    </row>
    <row r="160" spans="1:12" x14ac:dyDescent="0.45">
      <c r="A160" s="314"/>
      <c r="B160" s="5" t="s">
        <v>10</v>
      </c>
      <c r="C160" s="2">
        <v>502</v>
      </c>
      <c r="D160" s="1">
        <v>2710339</v>
      </c>
      <c r="E160" s="1">
        <v>2732167</v>
      </c>
      <c r="F160" s="41">
        <f t="shared" ref="F160:F182" si="23">(E160-D160)*$N$1</f>
        <v>21.827999999999999</v>
      </c>
      <c r="G160" s="22">
        <f t="shared" si="18"/>
        <v>88.760191593695268</v>
      </c>
      <c r="H160" s="45">
        <f t="shared" si="19"/>
        <v>3.2350490085619517</v>
      </c>
      <c r="I160" s="42">
        <f t="shared" si="20"/>
        <v>91.995240602257226</v>
      </c>
      <c r="J160" s="30">
        <f t="shared" si="22"/>
        <v>310</v>
      </c>
      <c r="K160" s="195"/>
      <c r="L160" s="27">
        <f t="shared" si="21"/>
        <v>401.99524060225724</v>
      </c>
    </row>
    <row r="161" spans="1:12" x14ac:dyDescent="0.45">
      <c r="A161" s="314"/>
      <c r="B161" s="5" t="s">
        <v>10</v>
      </c>
      <c r="C161" s="2">
        <v>503</v>
      </c>
      <c r="D161" s="1">
        <v>3715800</v>
      </c>
      <c r="E161" s="1">
        <v>3730140</v>
      </c>
      <c r="F161" s="41">
        <f t="shared" si="23"/>
        <v>14.34</v>
      </c>
      <c r="G161" s="22">
        <f t="shared" si="18"/>
        <v>58.311395796847634</v>
      </c>
      <c r="H161" s="45">
        <f t="shared" si="19"/>
        <v>3.2350490085619517</v>
      </c>
      <c r="I161" s="42">
        <f t="shared" si="20"/>
        <v>61.546444805409585</v>
      </c>
      <c r="J161" s="30">
        <f t="shared" si="22"/>
        <v>310</v>
      </c>
      <c r="K161" s="195"/>
      <c r="L161" s="27">
        <f t="shared" si="21"/>
        <v>371.54644480540958</v>
      </c>
    </row>
    <row r="162" spans="1:12" x14ac:dyDescent="0.45">
      <c r="A162" s="314"/>
      <c r="B162" s="5" t="s">
        <v>10</v>
      </c>
      <c r="C162" s="2">
        <v>504</v>
      </c>
      <c r="D162" s="1">
        <v>3501534</v>
      </c>
      <c r="E162" s="1">
        <v>3536178</v>
      </c>
      <c r="F162" s="41">
        <f t="shared" si="23"/>
        <v>34.643999999999998</v>
      </c>
      <c r="G162" s="22">
        <f t="shared" si="18"/>
        <v>140.87447670753065</v>
      </c>
      <c r="H162" s="45">
        <f t="shared" si="19"/>
        <v>3.2350490085619517</v>
      </c>
      <c r="I162" s="42">
        <f t="shared" si="20"/>
        <v>144.10952571609261</v>
      </c>
      <c r="J162" s="30">
        <f t="shared" si="22"/>
        <v>310</v>
      </c>
      <c r="K162" s="195">
        <v>10</v>
      </c>
      <c r="L162" s="27">
        <f t="shared" si="21"/>
        <v>464.10952571609261</v>
      </c>
    </row>
    <row r="163" spans="1:12" x14ac:dyDescent="0.45">
      <c r="A163" s="318"/>
      <c r="B163" s="5" t="s">
        <v>11</v>
      </c>
      <c r="C163" s="2">
        <v>101</v>
      </c>
      <c r="D163" s="1">
        <v>2984341</v>
      </c>
      <c r="E163" s="1">
        <v>3006727</v>
      </c>
      <c r="F163" s="41">
        <f t="shared" si="23"/>
        <v>22.385999999999999</v>
      </c>
      <c r="G163" s="22">
        <f t="shared" si="18"/>
        <v>91.029212434325743</v>
      </c>
      <c r="H163" s="45">
        <f t="shared" si="19"/>
        <v>3.2350490085619517</v>
      </c>
      <c r="I163" s="42">
        <f t="shared" si="20"/>
        <v>94.264261442887701</v>
      </c>
      <c r="J163" s="30">
        <f t="shared" si="22"/>
        <v>310</v>
      </c>
      <c r="K163" s="195"/>
      <c r="L163" s="27">
        <f t="shared" si="21"/>
        <v>404.26426144288769</v>
      </c>
    </row>
    <row r="164" spans="1:12" x14ac:dyDescent="0.45">
      <c r="A164" s="318"/>
      <c r="B164" s="5" t="s">
        <v>11</v>
      </c>
      <c r="C164" s="2">
        <v>102</v>
      </c>
      <c r="D164" s="1">
        <v>2691546</v>
      </c>
      <c r="E164" s="1">
        <v>2724085</v>
      </c>
      <c r="F164" s="41">
        <f t="shared" si="23"/>
        <v>32.539000000000001</v>
      </c>
      <c r="G164" s="22">
        <f t="shared" si="18"/>
        <v>132.31481923525979</v>
      </c>
      <c r="H164" s="45">
        <f t="shared" si="19"/>
        <v>3.2350490085619517</v>
      </c>
      <c r="I164" s="42">
        <f t="shared" si="20"/>
        <v>135.54986824382175</v>
      </c>
      <c r="J164" s="30">
        <f t="shared" si="22"/>
        <v>310</v>
      </c>
      <c r="K164" s="195"/>
      <c r="L164" s="27">
        <f t="shared" si="21"/>
        <v>445.54986824382172</v>
      </c>
    </row>
    <row r="165" spans="1:12" x14ac:dyDescent="0.45">
      <c r="A165" s="318"/>
      <c r="B165" s="5" t="s">
        <v>11</v>
      </c>
      <c r="C165" s="2">
        <v>103</v>
      </c>
      <c r="D165" s="1">
        <v>2357788</v>
      </c>
      <c r="E165" s="1">
        <v>2363533</v>
      </c>
      <c r="F165" s="41">
        <f t="shared" si="23"/>
        <v>5.7450000000000001</v>
      </c>
      <c r="G165" s="22">
        <f t="shared" si="18"/>
        <v>23.361155429071804</v>
      </c>
      <c r="H165" s="45">
        <f t="shared" si="19"/>
        <v>3.2350490085619517</v>
      </c>
      <c r="I165" s="42">
        <f t="shared" si="20"/>
        <v>26.596204437633755</v>
      </c>
      <c r="J165" s="30">
        <f t="shared" si="22"/>
        <v>310</v>
      </c>
      <c r="K165" s="195"/>
      <c r="L165" s="27">
        <f t="shared" si="21"/>
        <v>336.59620443763373</v>
      </c>
    </row>
    <row r="166" spans="1:12" x14ac:dyDescent="0.45">
      <c r="A166" s="318"/>
      <c r="B166" s="5" t="s">
        <v>11</v>
      </c>
      <c r="C166" s="2">
        <v>104</v>
      </c>
      <c r="D166" s="1">
        <v>2733513</v>
      </c>
      <c r="E166" s="1">
        <v>2768781</v>
      </c>
      <c r="F166" s="41">
        <f t="shared" si="23"/>
        <v>35.268000000000001</v>
      </c>
      <c r="G166" s="22">
        <f t="shared" si="18"/>
        <v>143.41187635726794</v>
      </c>
      <c r="H166" s="45">
        <f t="shared" si="19"/>
        <v>3.2350490085619517</v>
      </c>
      <c r="I166" s="42">
        <f t="shared" si="20"/>
        <v>146.6469253658299</v>
      </c>
      <c r="J166" s="30">
        <f t="shared" si="22"/>
        <v>310</v>
      </c>
      <c r="K166" s="195">
        <v>10</v>
      </c>
      <c r="L166" s="27">
        <f t="shared" si="21"/>
        <v>466.64692536582993</v>
      </c>
    </row>
    <row r="167" spans="1:12" x14ac:dyDescent="0.45">
      <c r="A167" s="318"/>
      <c r="B167" s="5" t="s">
        <v>11</v>
      </c>
      <c r="C167" s="2">
        <v>201</v>
      </c>
      <c r="D167" s="1">
        <v>2059445</v>
      </c>
      <c r="E167" s="1">
        <v>2078726</v>
      </c>
      <c r="F167" s="41">
        <f t="shared" si="23"/>
        <v>19.280999999999999</v>
      </c>
      <c r="G167" s="22">
        <f t="shared" si="18"/>
        <v>78.403209369527147</v>
      </c>
      <c r="H167" s="45">
        <f t="shared" si="19"/>
        <v>3.2350490085619517</v>
      </c>
      <c r="I167" s="42">
        <f t="shared" si="20"/>
        <v>81.638258378089105</v>
      </c>
      <c r="J167" s="30">
        <f t="shared" si="22"/>
        <v>310</v>
      </c>
      <c r="K167" s="195"/>
      <c r="L167" s="27">
        <f t="shared" si="21"/>
        <v>391.63825837808912</v>
      </c>
    </row>
    <row r="168" spans="1:12" x14ac:dyDescent="0.45">
      <c r="A168" s="318"/>
      <c r="B168" s="5" t="s">
        <v>11</v>
      </c>
      <c r="C168" s="2">
        <v>202</v>
      </c>
      <c r="D168" s="1">
        <v>77045</v>
      </c>
      <c r="E168" s="1">
        <v>105894</v>
      </c>
      <c r="F168" s="41">
        <f t="shared" si="23"/>
        <v>28.849</v>
      </c>
      <c r="G168" s="22">
        <f t="shared" si="18"/>
        <v>117.31000399883246</v>
      </c>
      <c r="H168" s="45">
        <f t="shared" si="19"/>
        <v>3.2350490085619517</v>
      </c>
      <c r="I168" s="42">
        <f t="shared" si="20"/>
        <v>120.54505300739442</v>
      </c>
      <c r="J168" s="30">
        <f t="shared" si="22"/>
        <v>310</v>
      </c>
      <c r="K168" s="195">
        <v>10</v>
      </c>
      <c r="L168" s="27">
        <f t="shared" si="21"/>
        <v>440.54505300739442</v>
      </c>
    </row>
    <row r="169" spans="1:12" x14ac:dyDescent="0.45">
      <c r="A169" s="318"/>
      <c r="B169" s="5" t="s">
        <v>11</v>
      </c>
      <c r="C169" s="2">
        <v>203</v>
      </c>
      <c r="D169" s="1">
        <v>2696346</v>
      </c>
      <c r="E169" s="1">
        <v>2707743</v>
      </c>
      <c r="F169" s="41">
        <f t="shared" si="23"/>
        <v>11.397</v>
      </c>
      <c r="G169" s="22">
        <f t="shared" si="18"/>
        <v>46.344140718038531</v>
      </c>
      <c r="H169" s="45">
        <f t="shared" si="19"/>
        <v>3.2350490085619517</v>
      </c>
      <c r="I169" s="42">
        <f t="shared" si="20"/>
        <v>49.579189726600482</v>
      </c>
      <c r="J169" s="30">
        <f t="shared" si="22"/>
        <v>310</v>
      </c>
      <c r="K169" s="195">
        <v>10</v>
      </c>
      <c r="L169" s="27">
        <f t="shared" si="21"/>
        <v>369.57918972660048</v>
      </c>
    </row>
    <row r="170" spans="1:12" x14ac:dyDescent="0.45">
      <c r="A170" s="318"/>
      <c r="B170" s="5" t="s">
        <v>11</v>
      </c>
      <c r="C170" s="2">
        <v>204</v>
      </c>
      <c r="D170" s="1">
        <v>2298659</v>
      </c>
      <c r="E170" s="1">
        <v>2312431</v>
      </c>
      <c r="F170" s="41">
        <f t="shared" si="23"/>
        <v>13.772</v>
      </c>
      <c r="G170" s="22">
        <f t="shared" si="18"/>
        <v>56.00171150029189</v>
      </c>
      <c r="H170" s="45">
        <f t="shared" si="19"/>
        <v>3.2350490085619517</v>
      </c>
      <c r="I170" s="42">
        <f t="shared" si="20"/>
        <v>59.236760508853841</v>
      </c>
      <c r="J170" s="30">
        <f t="shared" si="22"/>
        <v>310</v>
      </c>
      <c r="K170" s="195"/>
      <c r="L170" s="27">
        <f t="shared" si="21"/>
        <v>369.23676050885382</v>
      </c>
    </row>
    <row r="171" spans="1:12" x14ac:dyDescent="0.45">
      <c r="A171" s="318"/>
      <c r="B171" s="5" t="s">
        <v>11</v>
      </c>
      <c r="C171" s="2">
        <v>301</v>
      </c>
      <c r="D171" s="1">
        <v>3348655</v>
      </c>
      <c r="E171" s="1">
        <v>3363468</v>
      </c>
      <c r="F171" s="41">
        <f t="shared" si="23"/>
        <v>14.813000000000001</v>
      </c>
      <c r="G171" s="22">
        <f t="shared" si="18"/>
        <v>60.234777262113255</v>
      </c>
      <c r="H171" s="45">
        <f t="shared" si="19"/>
        <v>3.2350490085619517</v>
      </c>
      <c r="I171" s="42">
        <f t="shared" si="20"/>
        <v>63.469826270675206</v>
      </c>
      <c r="J171" s="30">
        <f t="shared" si="22"/>
        <v>310</v>
      </c>
      <c r="K171" s="195"/>
      <c r="L171" s="27">
        <f t="shared" si="21"/>
        <v>373.46982627067518</v>
      </c>
    </row>
    <row r="172" spans="1:12" x14ac:dyDescent="0.45">
      <c r="A172" s="318"/>
      <c r="B172" s="5" t="s">
        <v>11</v>
      </c>
      <c r="C172" s="2">
        <v>302</v>
      </c>
      <c r="D172" s="1">
        <v>2663034</v>
      </c>
      <c r="E172" s="1">
        <v>2675021</v>
      </c>
      <c r="F172" s="41">
        <f t="shared" si="23"/>
        <v>11.987</v>
      </c>
      <c r="G172" s="22">
        <f t="shared" si="18"/>
        <v>48.74328461762989</v>
      </c>
      <c r="H172" s="45">
        <f t="shared" si="19"/>
        <v>3.2350490085619517</v>
      </c>
      <c r="I172" s="42">
        <f t="shared" si="20"/>
        <v>51.978333626191841</v>
      </c>
      <c r="J172" s="30">
        <f t="shared" si="22"/>
        <v>310</v>
      </c>
      <c r="K172" s="195">
        <v>10</v>
      </c>
      <c r="L172" s="27">
        <f t="shared" si="21"/>
        <v>371.97833362619184</v>
      </c>
    </row>
    <row r="173" spans="1:12" x14ac:dyDescent="0.45">
      <c r="A173" s="318"/>
      <c r="B173" s="5" t="s">
        <v>11</v>
      </c>
      <c r="C173" s="2">
        <v>303</v>
      </c>
      <c r="D173" s="1">
        <v>2440108</v>
      </c>
      <c r="E173" s="1">
        <v>2456963</v>
      </c>
      <c r="F173" s="41">
        <f t="shared" si="23"/>
        <v>16.855</v>
      </c>
      <c r="G173" s="22">
        <f t="shared" si="18"/>
        <v>68.538254962054879</v>
      </c>
      <c r="H173" s="45">
        <f t="shared" si="19"/>
        <v>3.2350490085619517</v>
      </c>
      <c r="I173" s="42">
        <f t="shared" si="20"/>
        <v>71.773303970616837</v>
      </c>
      <c r="J173" s="30">
        <f t="shared" si="22"/>
        <v>310</v>
      </c>
      <c r="K173" s="195"/>
      <c r="L173" s="27">
        <f t="shared" si="21"/>
        <v>381.77330397061684</v>
      </c>
    </row>
    <row r="174" spans="1:12" x14ac:dyDescent="0.45">
      <c r="A174" s="318"/>
      <c r="B174" s="5" t="s">
        <v>11</v>
      </c>
      <c r="C174" s="2">
        <v>304</v>
      </c>
      <c r="D174" s="1">
        <v>5269351</v>
      </c>
      <c r="E174" s="1">
        <v>5293640</v>
      </c>
      <c r="F174" s="41">
        <f t="shared" si="23"/>
        <v>24.289000000000001</v>
      </c>
      <c r="G174" s="22">
        <f t="shared" si="18"/>
        <v>98.767468096906015</v>
      </c>
      <c r="H174" s="45">
        <f t="shared" si="19"/>
        <v>3.2350490085619517</v>
      </c>
      <c r="I174" s="42">
        <f t="shared" si="20"/>
        <v>102.00251710546797</v>
      </c>
      <c r="J174" s="30">
        <f t="shared" si="22"/>
        <v>310</v>
      </c>
      <c r="K174" s="195"/>
      <c r="L174" s="27">
        <f t="shared" si="21"/>
        <v>412.00251710546797</v>
      </c>
    </row>
    <row r="175" spans="1:12" x14ac:dyDescent="0.45">
      <c r="A175" s="318"/>
      <c r="B175" s="5" t="s">
        <v>11</v>
      </c>
      <c r="C175" s="2">
        <v>401</v>
      </c>
      <c r="D175" s="1">
        <v>3496113</v>
      </c>
      <c r="E175" s="1">
        <v>3496872</v>
      </c>
      <c r="F175" s="41">
        <f t="shared" si="23"/>
        <v>0.75900000000000001</v>
      </c>
      <c r="G175" s="22">
        <f t="shared" si="18"/>
        <v>3.0863563047285467</v>
      </c>
      <c r="H175" s="45">
        <f t="shared" si="19"/>
        <v>3.2350490085619517</v>
      </c>
      <c r="I175" s="42">
        <f t="shared" si="20"/>
        <v>6.3214053132904979</v>
      </c>
      <c r="J175" s="30">
        <f t="shared" si="22"/>
        <v>310</v>
      </c>
      <c r="K175" s="195"/>
      <c r="L175" s="27">
        <f t="shared" si="21"/>
        <v>316.32140531329048</v>
      </c>
    </row>
    <row r="176" spans="1:12" x14ac:dyDescent="0.45">
      <c r="A176" s="318"/>
      <c r="B176" s="5" t="s">
        <v>11</v>
      </c>
      <c r="C176" s="2">
        <v>402</v>
      </c>
      <c r="D176" s="1">
        <v>1978799</v>
      </c>
      <c r="E176" s="1">
        <v>1988400</v>
      </c>
      <c r="F176" s="41">
        <f t="shared" si="23"/>
        <v>9.6010000000000009</v>
      </c>
      <c r="G176" s="22">
        <f t="shared" si="18"/>
        <v>39.040984033858734</v>
      </c>
      <c r="H176" s="45">
        <f t="shared" si="19"/>
        <v>3.2350490085619517</v>
      </c>
      <c r="I176" s="42">
        <f t="shared" si="20"/>
        <v>42.276033042420686</v>
      </c>
      <c r="J176" s="30">
        <f t="shared" si="22"/>
        <v>310</v>
      </c>
      <c r="K176" s="195"/>
      <c r="L176" s="27">
        <f t="shared" si="21"/>
        <v>352.27603304242069</v>
      </c>
    </row>
    <row r="177" spans="1:12" x14ac:dyDescent="0.45">
      <c r="A177" s="318"/>
      <c r="B177" s="5" t="s">
        <v>11</v>
      </c>
      <c r="C177" s="2">
        <v>403</v>
      </c>
      <c r="D177" s="1">
        <v>3185879</v>
      </c>
      <c r="E177" s="1">
        <v>3204234</v>
      </c>
      <c r="F177" s="41">
        <f t="shared" si="23"/>
        <v>18.355</v>
      </c>
      <c r="G177" s="22">
        <f t="shared" si="18"/>
        <v>74.637773350846473</v>
      </c>
      <c r="H177" s="45">
        <f t="shared" si="19"/>
        <v>3.2350490085619517</v>
      </c>
      <c r="I177" s="42">
        <f t="shared" si="20"/>
        <v>77.872822359408431</v>
      </c>
      <c r="J177" s="30">
        <f t="shared" si="22"/>
        <v>310</v>
      </c>
      <c r="K177" s="195"/>
      <c r="L177" s="27">
        <f t="shared" si="21"/>
        <v>387.87282235940842</v>
      </c>
    </row>
    <row r="178" spans="1:12" x14ac:dyDescent="0.45">
      <c r="A178" s="318"/>
      <c r="B178" s="5" t="s">
        <v>11</v>
      </c>
      <c r="C178" s="2">
        <v>404</v>
      </c>
      <c r="D178" s="1">
        <v>4131813</v>
      </c>
      <c r="E178" s="1">
        <v>4148547</v>
      </c>
      <c r="F178" s="41">
        <f t="shared" si="23"/>
        <v>16.734000000000002</v>
      </c>
      <c r="G178" s="22">
        <f t="shared" si="18"/>
        <v>68.046227145359026</v>
      </c>
      <c r="H178" s="45">
        <f t="shared" si="19"/>
        <v>3.2350490085619517</v>
      </c>
      <c r="I178" s="42">
        <f t="shared" si="20"/>
        <v>71.281276153920984</v>
      </c>
      <c r="J178" s="30">
        <f t="shared" si="22"/>
        <v>310</v>
      </c>
      <c r="K178" s="195">
        <v>10</v>
      </c>
      <c r="L178" s="27">
        <f t="shared" si="21"/>
        <v>391.281276153921</v>
      </c>
    </row>
    <row r="179" spans="1:12" x14ac:dyDescent="0.45">
      <c r="A179" s="318"/>
      <c r="B179" s="5" t="s">
        <v>11</v>
      </c>
      <c r="C179" s="2">
        <v>501</v>
      </c>
      <c r="D179" s="1">
        <v>3772687</v>
      </c>
      <c r="E179" s="1">
        <v>3805388</v>
      </c>
      <c r="F179" s="41">
        <f t="shared" si="23"/>
        <v>32.701000000000001</v>
      </c>
      <c r="G179" s="22">
        <f t="shared" si="18"/>
        <v>132.97356722124928</v>
      </c>
      <c r="H179" s="45">
        <f t="shared" si="19"/>
        <v>3.2350490085619517</v>
      </c>
      <c r="I179" s="42">
        <f t="shared" si="20"/>
        <v>136.20861622981124</v>
      </c>
      <c r="J179" s="30">
        <f t="shared" si="22"/>
        <v>310</v>
      </c>
      <c r="K179" s="195">
        <v>10</v>
      </c>
      <c r="L179" s="27">
        <f t="shared" si="21"/>
        <v>456.20861622981124</v>
      </c>
    </row>
    <row r="180" spans="1:12" x14ac:dyDescent="0.45">
      <c r="A180" s="318"/>
      <c r="B180" s="5" t="s">
        <v>11</v>
      </c>
      <c r="C180" s="2">
        <v>502</v>
      </c>
      <c r="D180" s="1">
        <v>3867173</v>
      </c>
      <c r="E180" s="1">
        <v>3885402</v>
      </c>
      <c r="F180" s="41">
        <f t="shared" si="23"/>
        <v>18.228999999999999</v>
      </c>
      <c r="G180" s="22">
        <f t="shared" si="18"/>
        <v>74.125413806187979</v>
      </c>
      <c r="H180" s="45">
        <f t="shared" si="19"/>
        <v>3.2350490085619517</v>
      </c>
      <c r="I180" s="42">
        <f t="shared" si="20"/>
        <v>77.360462814749937</v>
      </c>
      <c r="J180" s="30">
        <f t="shared" si="22"/>
        <v>310</v>
      </c>
      <c r="K180" s="195"/>
      <c r="L180" s="27">
        <f t="shared" si="21"/>
        <v>387.36046281474995</v>
      </c>
    </row>
    <row r="181" spans="1:12" x14ac:dyDescent="0.45">
      <c r="A181" s="318"/>
      <c r="B181" s="5" t="s">
        <v>11</v>
      </c>
      <c r="C181" s="2">
        <v>503</v>
      </c>
      <c r="D181" s="1">
        <v>2338711</v>
      </c>
      <c r="E181" s="1">
        <v>2356238</v>
      </c>
      <c r="F181" s="41">
        <f t="shared" si="23"/>
        <v>17.527000000000001</v>
      </c>
      <c r="G181" s="22">
        <f t="shared" si="18"/>
        <v>71.27083920023351</v>
      </c>
      <c r="H181" s="45">
        <f t="shared" si="19"/>
        <v>3.2350490085619517</v>
      </c>
      <c r="I181" s="42">
        <f t="shared" si="20"/>
        <v>74.505888208795469</v>
      </c>
      <c r="J181" s="30">
        <f t="shared" si="22"/>
        <v>310</v>
      </c>
      <c r="K181" s="195"/>
      <c r="L181" s="27">
        <f t="shared" si="21"/>
        <v>384.50588820879545</v>
      </c>
    </row>
    <row r="182" spans="1:12" x14ac:dyDescent="0.45">
      <c r="A182" s="318"/>
      <c r="B182" s="5" t="s">
        <v>11</v>
      </c>
      <c r="C182" s="2">
        <v>504</v>
      </c>
      <c r="D182" s="1">
        <v>3176309</v>
      </c>
      <c r="E182" s="1">
        <v>3203160</v>
      </c>
      <c r="F182" s="41">
        <f t="shared" si="23"/>
        <v>26.850999999999999</v>
      </c>
      <c r="G182" s="22">
        <f t="shared" si="18"/>
        <v>109.18544550496205</v>
      </c>
      <c r="H182" s="45">
        <f t="shared" si="19"/>
        <v>3.2350490085619517</v>
      </c>
      <c r="I182" s="42">
        <f t="shared" si="20"/>
        <v>112.42049451352401</v>
      </c>
      <c r="J182" s="30">
        <f t="shared" si="22"/>
        <v>310</v>
      </c>
      <c r="K182" s="195"/>
      <c r="L182" s="27">
        <f t="shared" si="21"/>
        <v>422.42049451352398</v>
      </c>
    </row>
    <row r="183" spans="1:12" ht="15" customHeight="1" x14ac:dyDescent="0.45">
      <c r="F183" s="27">
        <f>SUM(F3:F182)</f>
        <v>3282.7980000000011</v>
      </c>
      <c r="G183" s="22">
        <f>MMULT($G$1,1/$F$183)*F183</f>
        <v>13348.991178458849</v>
      </c>
      <c r="H183" s="45">
        <f>SUM(H3:H182)</f>
        <v>582.30882154115068</v>
      </c>
      <c r="I183" s="42">
        <f>SUM(G183,H183)</f>
        <v>13931.3</v>
      </c>
      <c r="K183" s="20">
        <f>SUM(K3:K182)</f>
        <v>560</v>
      </c>
    </row>
    <row r="184" spans="1:12" ht="15" customHeight="1" x14ac:dyDescent="0.45">
      <c r="F184" t="s">
        <v>12</v>
      </c>
      <c r="I184" s="109">
        <f>SUM(-E190,I1)</f>
        <v>0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5386.4</v>
      </c>
      <c r="F188" s="93">
        <v>1393</v>
      </c>
      <c r="G188" s="92">
        <f>MMULT(E188,1/F188)</f>
        <v>3.8667623833452978</v>
      </c>
      <c r="H188" s="20"/>
    </row>
    <row r="189" spans="1:12" ht="15" customHeight="1" thickBot="1" x14ac:dyDescent="0.5">
      <c r="D189" s="46">
        <v>6244619</v>
      </c>
      <c r="E189" s="88">
        <v>8544.9</v>
      </c>
      <c r="F189" s="94">
        <v>2033</v>
      </c>
      <c r="G189" s="92">
        <f>MMULT(E189,1/F189)</f>
        <v>4.2030988686669941</v>
      </c>
      <c r="H189" s="152"/>
    </row>
    <row r="190" spans="1:12" ht="15" customHeight="1" thickBot="1" x14ac:dyDescent="0.5">
      <c r="D190" s="6" t="s">
        <v>33</v>
      </c>
      <c r="E190" s="48">
        <f>SUM(E188:E189)</f>
        <v>13931.3</v>
      </c>
      <c r="F190" s="95">
        <f>SUM(F188:F189)</f>
        <v>3426</v>
      </c>
      <c r="H190" s="61"/>
    </row>
    <row r="191" spans="1:12" ht="15" customHeight="1" x14ac:dyDescent="0.45">
      <c r="H191" s="61"/>
    </row>
    <row r="192" spans="1:12" ht="15" customHeight="1" x14ac:dyDescent="0.45">
      <c r="D192" s="319" t="s">
        <v>69</v>
      </c>
      <c r="E192" s="319"/>
      <c r="F192" s="241">
        <f>SUM(F190)</f>
        <v>3426</v>
      </c>
      <c r="G192" s="156">
        <f>MMULT(E190,1/F190)</f>
        <v>4.0663455925277292</v>
      </c>
      <c r="H192" s="155" t="s">
        <v>12</v>
      </c>
      <c r="I192" s="240" cm="1">
        <f t="array" ref="I192">MMULT(E190,1/F190)</f>
        <v>4.0663455925277292</v>
      </c>
    </row>
    <row r="193" spans="4:8" ht="15" customHeight="1" x14ac:dyDescent="0.45">
      <c r="D193" s="319" t="s">
        <v>271</v>
      </c>
      <c r="E193" s="319"/>
      <c r="F193" s="241">
        <f>SUM(F183)</f>
        <v>3282.7980000000011</v>
      </c>
      <c r="G193" s="27">
        <f>MMULT(F193,G192)</f>
        <v>13348.991178458849</v>
      </c>
      <c r="H193" s="61"/>
    </row>
    <row r="194" spans="4:8" ht="15" customHeight="1" thickBot="1" x14ac:dyDescent="0.5">
      <c r="D194" s="319" t="s">
        <v>270</v>
      </c>
      <c r="E194" s="319"/>
      <c r="F194" s="241">
        <f>SUM(F192,-F193)</f>
        <v>143.20199999999886</v>
      </c>
      <c r="G194" s="47">
        <f>MMULT(F194,G192)</f>
        <v>582.30882154115125</v>
      </c>
      <c r="H194" s="61"/>
    </row>
    <row r="195" spans="4:8" ht="15" customHeight="1" thickBot="1" x14ac:dyDescent="0.5">
      <c r="F195" s="7"/>
      <c r="G195" s="48">
        <f>SUM(G193:G194)</f>
        <v>13931.300000000001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73.558999999999997</v>
      </c>
      <c r="G198" s="20">
        <f>MAX(I3:I182)</f>
        <v>302.35136444930913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3.2350490085619517</v>
      </c>
    </row>
    <row r="200" spans="4:8" ht="15" customHeight="1" x14ac:dyDescent="0.45">
      <c r="D200" t="s">
        <v>265</v>
      </c>
      <c r="F200" s="92">
        <f>AVERAGE(F3:F182)</f>
        <v>18.237766666666673</v>
      </c>
      <c r="G200" s="92">
        <f>AVERAGE(G3:G182)</f>
        <v>74.161062102549124</v>
      </c>
    </row>
    <row r="201" spans="4:8" ht="15" customHeight="1" x14ac:dyDescent="0.45">
      <c r="D201" t="s">
        <v>273</v>
      </c>
      <c r="F201" s="92">
        <f>AVERAGE(F199,F198)</f>
        <v>36.779499999999999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9C79-5CB0-4D4B-AFAB-A4156C1618A3}">
  <dimension ref="A1:O222"/>
  <sheetViews>
    <sheetView zoomScale="85" zoomScaleNormal="85" workbookViewId="0">
      <pane xSplit="1" ySplit="2" topLeftCell="B183" activePane="bottomRight" state="frozen"/>
      <selection pane="topRight" activeCell="B1" sqref="B1"/>
      <selection pane="bottomLeft" activeCell="A4" sqref="A4"/>
      <selection pane="bottomRight" activeCell="L18" sqref="L18"/>
    </sheetView>
  </sheetViews>
  <sheetFormatPr baseColWidth="10" defaultRowHeight="14.25" x14ac:dyDescent="0.45"/>
  <cols>
    <col min="1" max="1" width="4.1328125" customWidth="1"/>
    <col min="2" max="2" width="5.3984375" style="6" bestFit="1" customWidth="1"/>
    <col min="3" max="3" width="6.265625" bestFit="1" customWidth="1"/>
    <col min="4" max="5" width="10" customWidth="1"/>
    <col min="6" max="6" width="11.1328125" customWidth="1"/>
    <col min="7" max="7" width="12.59765625" customWidth="1"/>
    <col min="8" max="8" width="13.3984375" customWidth="1"/>
    <col min="9" max="9" width="12.86328125" style="20" bestFit="1" customWidth="1"/>
    <col min="10" max="10" width="12.86328125" customWidth="1"/>
    <col min="11" max="11" width="7.73046875" style="82" bestFit="1" customWidth="1"/>
    <col min="12" max="12" width="13.265625" customWidth="1"/>
  </cols>
  <sheetData>
    <row r="1" spans="1:15" ht="21" customHeight="1" x14ac:dyDescent="0.45">
      <c r="D1" s="315" t="s">
        <v>280</v>
      </c>
      <c r="E1" s="315"/>
      <c r="F1" s="53" t="s">
        <v>2</v>
      </c>
      <c r="G1" s="27">
        <f>SUM(G193)</f>
        <v>12212.445128571428</v>
      </c>
      <c r="H1" s="27">
        <f>SUM(G194)</f>
        <v>4726.8548714285716</v>
      </c>
      <c r="I1" s="316">
        <f>SUM(G1:H1)</f>
        <v>16939.3</v>
      </c>
      <c r="J1" s="317"/>
      <c r="K1" s="170" t="s">
        <v>12</v>
      </c>
      <c r="L1" s="4"/>
      <c r="N1">
        <v>1E-3</v>
      </c>
    </row>
    <row r="2" spans="1:15" ht="46.5" customHeight="1" x14ac:dyDescent="0.45">
      <c r="B2" s="43" t="s">
        <v>0</v>
      </c>
      <c r="C2" s="44" t="s">
        <v>1</v>
      </c>
      <c r="D2" s="3">
        <v>43931</v>
      </c>
      <c r="E2" s="3">
        <v>43961</v>
      </c>
      <c r="F2" s="50" t="s">
        <v>68</v>
      </c>
      <c r="G2" s="51" t="s">
        <v>276</v>
      </c>
      <c r="H2" s="52" t="s">
        <v>277</v>
      </c>
      <c r="I2" s="21" t="s">
        <v>278</v>
      </c>
      <c r="J2" s="28" t="s">
        <v>320</v>
      </c>
      <c r="K2" s="171" t="s">
        <v>266</v>
      </c>
      <c r="L2" s="28" t="s">
        <v>279</v>
      </c>
      <c r="N2" t="s">
        <v>12</v>
      </c>
    </row>
    <row r="3" spans="1:15" ht="15" customHeight="1" x14ac:dyDescent="0.45">
      <c r="A3" s="318"/>
      <c r="B3" s="5" t="s">
        <v>3</v>
      </c>
      <c r="C3" s="2">
        <v>101</v>
      </c>
      <c r="D3" s="1">
        <v>3064919</v>
      </c>
      <c r="E3" s="1">
        <v>3075246</v>
      </c>
      <c r="F3" s="41">
        <f>(E3-D3)*$N$1</f>
        <v>10.327</v>
      </c>
      <c r="G3" s="22">
        <f>MMULT($G$1,1/$F$183)*F3</f>
        <v>42.500522619047622</v>
      </c>
      <c r="H3" s="45">
        <f>MMULT($H$1,1/180)</f>
        <v>26.260304841269843</v>
      </c>
      <c r="I3" s="42">
        <f>SUM(G3,H3)</f>
        <v>68.760827460317472</v>
      </c>
      <c r="J3" s="30">
        <v>310</v>
      </c>
      <c r="K3" s="195"/>
      <c r="L3" s="27">
        <f>SUM(I3,J3,K3)</f>
        <v>378.7608274603175</v>
      </c>
      <c r="N3" t="s">
        <v>12</v>
      </c>
    </row>
    <row r="4" spans="1:15" ht="15" customHeight="1" x14ac:dyDescent="0.45">
      <c r="A4" s="318"/>
      <c r="B4" s="5" t="s">
        <v>3</v>
      </c>
      <c r="C4" s="2">
        <v>102</v>
      </c>
      <c r="D4" s="1">
        <v>1937157</v>
      </c>
      <c r="E4" s="1">
        <v>1945748</v>
      </c>
      <c r="F4" s="41">
        <f t="shared" ref="F4:F22" si="0">(E4-D4)*$N$1</f>
        <v>8.5909999999999993</v>
      </c>
      <c r="G4" s="22">
        <f t="shared" ref="G4:G67" si="1">MMULT($G$1,1/$F$183)*F4</f>
        <v>35.356055952380949</v>
      </c>
      <c r="H4" s="45">
        <f t="shared" ref="H4:H67" si="2">MMULT($H$1,1/180)</f>
        <v>26.260304841269843</v>
      </c>
      <c r="I4" s="42">
        <f t="shared" ref="I4:I67" si="3">SUM(G4,H4)</f>
        <v>61.616360793650792</v>
      </c>
      <c r="J4" s="30">
        <f>SUM($J$3)</f>
        <v>310</v>
      </c>
      <c r="K4" s="195"/>
      <c r="L4" s="27">
        <f t="shared" ref="L4:L67" si="4">SUM(I4,J4,K4)</f>
        <v>371.61636079365081</v>
      </c>
      <c r="N4" t="s">
        <v>12</v>
      </c>
    </row>
    <row r="5" spans="1:15" ht="15" customHeight="1" x14ac:dyDescent="0.45">
      <c r="A5" s="318"/>
      <c r="B5" s="5" t="s">
        <v>3</v>
      </c>
      <c r="C5" s="2">
        <v>103</v>
      </c>
      <c r="D5" s="1">
        <v>2860415</v>
      </c>
      <c r="E5" s="1">
        <v>2870463</v>
      </c>
      <c r="F5" s="41">
        <f t="shared" si="0"/>
        <v>10.048</v>
      </c>
      <c r="G5" s="22">
        <f t="shared" si="1"/>
        <v>41.352304761904762</v>
      </c>
      <c r="H5" s="45">
        <f t="shared" si="2"/>
        <v>26.260304841269843</v>
      </c>
      <c r="I5" s="42">
        <f t="shared" si="3"/>
        <v>67.612609603174604</v>
      </c>
      <c r="J5" s="30">
        <f t="shared" ref="J5:J68" si="5">SUM($J$3)</f>
        <v>310</v>
      </c>
      <c r="K5" s="195"/>
      <c r="L5" s="27">
        <f t="shared" si="4"/>
        <v>377.61260960317463</v>
      </c>
      <c r="N5" t="s">
        <v>12</v>
      </c>
    </row>
    <row r="6" spans="1:15" ht="15" customHeight="1" x14ac:dyDescent="0.45">
      <c r="A6" s="318"/>
      <c r="B6" s="5" t="s">
        <v>3</v>
      </c>
      <c r="C6" s="2">
        <v>104</v>
      </c>
      <c r="D6" s="1">
        <v>2461343</v>
      </c>
      <c r="E6" s="1">
        <v>2475310</v>
      </c>
      <c r="F6" s="41">
        <f t="shared" si="0"/>
        <v>13.967000000000001</v>
      </c>
      <c r="G6" s="22">
        <f t="shared" si="1"/>
        <v>57.480855952380956</v>
      </c>
      <c r="H6" s="45">
        <f t="shared" si="2"/>
        <v>26.260304841269843</v>
      </c>
      <c r="I6" s="42">
        <f t="shared" si="3"/>
        <v>83.741160793650806</v>
      </c>
      <c r="J6" s="30">
        <f t="shared" si="5"/>
        <v>310</v>
      </c>
      <c r="K6" s="195"/>
      <c r="L6" s="27">
        <f t="shared" si="4"/>
        <v>393.74116079365081</v>
      </c>
      <c r="N6" t="s">
        <v>12</v>
      </c>
      <c r="O6" t="s">
        <v>12</v>
      </c>
    </row>
    <row r="7" spans="1:15" ht="15" customHeight="1" x14ac:dyDescent="0.45">
      <c r="A7" s="318"/>
      <c r="B7" s="5" t="s">
        <v>3</v>
      </c>
      <c r="C7" s="2">
        <v>201</v>
      </c>
      <c r="D7" s="1">
        <v>3595808</v>
      </c>
      <c r="E7" s="1">
        <v>3611897</v>
      </c>
      <c r="F7" s="41">
        <f t="shared" si="0"/>
        <v>16.088999999999999</v>
      </c>
      <c r="G7" s="22">
        <f t="shared" si="1"/>
        <v>66.213896428571417</v>
      </c>
      <c r="H7" s="45">
        <f t="shared" si="2"/>
        <v>26.260304841269843</v>
      </c>
      <c r="I7" s="42">
        <f t="shared" si="3"/>
        <v>92.474201269841259</v>
      </c>
      <c r="J7" s="30">
        <f t="shared" si="5"/>
        <v>310</v>
      </c>
      <c r="K7" s="195"/>
      <c r="L7" s="27">
        <f t="shared" si="4"/>
        <v>402.47420126984127</v>
      </c>
      <c r="N7" t="s">
        <v>12</v>
      </c>
    </row>
    <row r="8" spans="1:15" ht="15" customHeight="1" x14ac:dyDescent="0.45">
      <c r="A8" s="318"/>
      <c r="B8" s="5" t="s">
        <v>3</v>
      </c>
      <c r="C8" s="2">
        <v>202</v>
      </c>
      <c r="D8" s="1">
        <v>69909</v>
      </c>
      <c r="E8" s="1">
        <v>86759</v>
      </c>
      <c r="F8" s="41">
        <f t="shared" si="0"/>
        <v>16.850000000000001</v>
      </c>
      <c r="G8" s="22">
        <f t="shared" si="1"/>
        <v>69.34577380952382</v>
      </c>
      <c r="H8" s="45">
        <f t="shared" si="2"/>
        <v>26.260304841269843</v>
      </c>
      <c r="I8" s="42">
        <f t="shared" si="3"/>
        <v>95.606078650793663</v>
      </c>
      <c r="J8" s="30">
        <f t="shared" si="5"/>
        <v>310</v>
      </c>
      <c r="K8" s="195"/>
      <c r="L8" s="27">
        <f t="shared" si="4"/>
        <v>405.60607865079368</v>
      </c>
      <c r="N8" t="s">
        <v>12</v>
      </c>
    </row>
    <row r="9" spans="1:15" ht="15" customHeight="1" x14ac:dyDescent="0.45">
      <c r="A9" s="318"/>
      <c r="B9" s="5" t="s">
        <v>3</v>
      </c>
      <c r="C9" s="2">
        <v>203</v>
      </c>
      <c r="D9" s="1">
        <v>4791556</v>
      </c>
      <c r="E9" s="1">
        <v>4813034</v>
      </c>
      <c r="F9" s="41">
        <f t="shared" si="0"/>
        <v>21.478000000000002</v>
      </c>
      <c r="G9" s="22">
        <f t="shared" si="1"/>
        <v>88.392197619047622</v>
      </c>
      <c r="H9" s="45">
        <f t="shared" si="2"/>
        <v>26.260304841269843</v>
      </c>
      <c r="I9" s="42">
        <f t="shared" si="3"/>
        <v>114.65250246031746</v>
      </c>
      <c r="J9" s="30">
        <f t="shared" si="5"/>
        <v>310</v>
      </c>
      <c r="K9" s="195"/>
      <c r="L9" s="27">
        <f t="shared" si="4"/>
        <v>424.65250246031746</v>
      </c>
      <c r="N9" t="s">
        <v>12</v>
      </c>
    </row>
    <row r="10" spans="1:15" ht="15" customHeight="1" x14ac:dyDescent="0.45">
      <c r="A10" s="318"/>
      <c r="B10" s="5" t="s">
        <v>3</v>
      </c>
      <c r="C10" s="2">
        <v>204</v>
      </c>
      <c r="D10" s="1">
        <v>1881660</v>
      </c>
      <c r="E10" s="1">
        <v>1897334</v>
      </c>
      <c r="F10" s="41">
        <f t="shared" si="0"/>
        <v>15.673999999999999</v>
      </c>
      <c r="G10" s="22">
        <f t="shared" si="1"/>
        <v>64.505973809523809</v>
      </c>
      <c r="H10" s="45">
        <f t="shared" si="2"/>
        <v>26.260304841269843</v>
      </c>
      <c r="I10" s="42">
        <f t="shared" si="3"/>
        <v>90.766278650793652</v>
      </c>
      <c r="J10" s="30">
        <f t="shared" si="5"/>
        <v>310</v>
      </c>
      <c r="K10" s="195"/>
      <c r="L10" s="27">
        <f t="shared" si="4"/>
        <v>400.76627865079365</v>
      </c>
      <c r="N10" t="s">
        <v>12</v>
      </c>
    </row>
    <row r="11" spans="1:15" ht="15" customHeight="1" x14ac:dyDescent="0.45">
      <c r="A11" s="318"/>
      <c r="B11" s="5" t="s">
        <v>3</v>
      </c>
      <c r="C11" s="2">
        <v>301</v>
      </c>
      <c r="D11" s="1">
        <v>3933703</v>
      </c>
      <c r="E11" s="1">
        <v>3933712</v>
      </c>
      <c r="F11" s="41">
        <f t="shared" si="0"/>
        <v>9.0000000000000011E-3</v>
      </c>
      <c r="G11" s="22">
        <f t="shared" si="1"/>
        <v>3.7039285714285719E-2</v>
      </c>
      <c r="H11" s="45">
        <f t="shared" si="2"/>
        <v>26.260304841269843</v>
      </c>
      <c r="I11" s="42">
        <f t="shared" si="3"/>
        <v>26.297344126984129</v>
      </c>
      <c r="J11" s="30">
        <f t="shared" si="5"/>
        <v>310</v>
      </c>
      <c r="K11" s="195"/>
      <c r="L11" s="27">
        <f t="shared" si="4"/>
        <v>336.29734412698411</v>
      </c>
      <c r="N11" t="s">
        <v>12</v>
      </c>
    </row>
    <row r="12" spans="1:15" ht="15" customHeight="1" x14ac:dyDescent="0.45">
      <c r="A12" s="318"/>
      <c r="B12" s="5" t="s">
        <v>3</v>
      </c>
      <c r="C12" s="2">
        <v>302</v>
      </c>
      <c r="D12" s="1">
        <v>4217322</v>
      </c>
      <c r="E12" s="1">
        <v>4243396</v>
      </c>
      <c r="F12" s="41">
        <f t="shared" si="0"/>
        <v>26.074000000000002</v>
      </c>
      <c r="G12" s="22">
        <f t="shared" si="1"/>
        <v>107.3069261904762</v>
      </c>
      <c r="H12" s="45">
        <f t="shared" si="2"/>
        <v>26.260304841269843</v>
      </c>
      <c r="I12" s="42">
        <f t="shared" si="3"/>
        <v>133.56723103174605</v>
      </c>
      <c r="J12" s="30">
        <f t="shared" si="5"/>
        <v>310</v>
      </c>
      <c r="K12" s="195"/>
      <c r="L12" s="27">
        <f t="shared" si="4"/>
        <v>443.56723103174602</v>
      </c>
      <c r="N12" t="s">
        <v>12</v>
      </c>
    </row>
    <row r="13" spans="1:15" ht="15" customHeight="1" x14ac:dyDescent="0.45">
      <c r="A13" s="318"/>
      <c r="B13" s="5" t="s">
        <v>3</v>
      </c>
      <c r="C13" s="2">
        <v>303</v>
      </c>
      <c r="D13" s="1">
        <v>3520468</v>
      </c>
      <c r="E13" s="1">
        <v>3535683</v>
      </c>
      <c r="F13" s="41">
        <f t="shared" si="0"/>
        <v>15.215</v>
      </c>
      <c r="G13" s="22">
        <f t="shared" si="1"/>
        <v>62.616970238095242</v>
      </c>
      <c r="H13" s="45">
        <f t="shared" si="2"/>
        <v>26.260304841269843</v>
      </c>
      <c r="I13" s="42">
        <f t="shared" si="3"/>
        <v>88.877275079365091</v>
      </c>
      <c r="J13" s="30">
        <f t="shared" si="5"/>
        <v>310</v>
      </c>
      <c r="K13" s="195"/>
      <c r="L13" s="27">
        <f t="shared" si="4"/>
        <v>398.87727507936506</v>
      </c>
      <c r="N13" t="s">
        <v>12</v>
      </c>
    </row>
    <row r="14" spans="1:15" ht="15" customHeight="1" x14ac:dyDescent="0.45">
      <c r="A14" s="318"/>
      <c r="B14" s="5" t="s">
        <v>3</v>
      </c>
      <c r="C14" s="2">
        <v>304</v>
      </c>
      <c r="D14" s="1">
        <v>1586916</v>
      </c>
      <c r="E14" s="1">
        <v>1597336</v>
      </c>
      <c r="F14" s="41">
        <f t="shared" si="0"/>
        <v>10.42</v>
      </c>
      <c r="G14" s="22">
        <f t="shared" si="1"/>
        <v>42.883261904761902</v>
      </c>
      <c r="H14" s="45">
        <f t="shared" si="2"/>
        <v>26.260304841269843</v>
      </c>
      <c r="I14" s="42">
        <f t="shared" si="3"/>
        <v>69.143566746031752</v>
      </c>
      <c r="J14" s="30">
        <f t="shared" si="5"/>
        <v>310</v>
      </c>
      <c r="K14" s="195"/>
      <c r="L14" s="27">
        <f t="shared" si="4"/>
        <v>379.14356674603175</v>
      </c>
      <c r="N14" t="s">
        <v>12</v>
      </c>
    </row>
    <row r="15" spans="1:15" ht="15" customHeight="1" x14ac:dyDescent="0.45">
      <c r="A15" s="318"/>
      <c r="B15" s="5" t="s">
        <v>3</v>
      </c>
      <c r="C15" s="2">
        <v>401</v>
      </c>
      <c r="D15" s="1">
        <v>2197735</v>
      </c>
      <c r="E15" s="1">
        <v>2201713</v>
      </c>
      <c r="F15" s="41">
        <f t="shared" si="0"/>
        <v>3.9780000000000002</v>
      </c>
      <c r="G15" s="22">
        <f t="shared" si="1"/>
        <v>16.371364285714286</v>
      </c>
      <c r="H15" s="45">
        <f t="shared" si="2"/>
        <v>26.260304841269843</v>
      </c>
      <c r="I15" s="42">
        <f t="shared" si="3"/>
        <v>42.631669126984129</v>
      </c>
      <c r="J15" s="30">
        <f t="shared" si="5"/>
        <v>310</v>
      </c>
      <c r="K15" s="195"/>
      <c r="L15" s="27">
        <f t="shared" si="4"/>
        <v>352.63166912698415</v>
      </c>
      <c r="N15" t="s">
        <v>12</v>
      </c>
    </row>
    <row r="16" spans="1:15" ht="15" customHeight="1" x14ac:dyDescent="0.45">
      <c r="A16" s="318"/>
      <c r="B16" s="5" t="s">
        <v>3</v>
      </c>
      <c r="C16" s="2">
        <v>402</v>
      </c>
      <c r="D16" s="1">
        <v>5526052</v>
      </c>
      <c r="E16" s="1">
        <v>5538316</v>
      </c>
      <c r="F16" s="41">
        <f t="shared" si="0"/>
        <v>12.264000000000001</v>
      </c>
      <c r="G16" s="22">
        <f t="shared" si="1"/>
        <v>50.472200000000008</v>
      </c>
      <c r="H16" s="45">
        <f t="shared" si="2"/>
        <v>26.260304841269843</v>
      </c>
      <c r="I16" s="42">
        <f t="shared" si="3"/>
        <v>76.732504841269844</v>
      </c>
      <c r="J16" s="30">
        <f t="shared" si="5"/>
        <v>310</v>
      </c>
      <c r="K16" s="195"/>
      <c r="L16" s="27">
        <f t="shared" si="4"/>
        <v>386.73250484126982</v>
      </c>
    </row>
    <row r="17" spans="1:12" ht="15" customHeight="1" x14ac:dyDescent="0.45">
      <c r="A17" s="318"/>
      <c r="B17" s="5" t="s">
        <v>3</v>
      </c>
      <c r="C17" s="2">
        <v>403</v>
      </c>
      <c r="D17" s="1">
        <v>2948688</v>
      </c>
      <c r="E17" s="1">
        <v>2959483</v>
      </c>
      <c r="F17" s="41">
        <f t="shared" si="0"/>
        <v>10.795</v>
      </c>
      <c r="G17" s="22">
        <f t="shared" si="1"/>
        <v>44.426565476190476</v>
      </c>
      <c r="H17" s="45">
        <f t="shared" si="2"/>
        <v>26.260304841269843</v>
      </c>
      <c r="I17" s="42">
        <f t="shared" si="3"/>
        <v>70.686870317460318</v>
      </c>
      <c r="J17" s="30">
        <f t="shared" si="5"/>
        <v>310</v>
      </c>
      <c r="K17" s="195"/>
      <c r="L17" s="27">
        <f t="shared" si="4"/>
        <v>380.68687031746032</v>
      </c>
    </row>
    <row r="18" spans="1:12" ht="15" customHeight="1" x14ac:dyDescent="0.45">
      <c r="A18" s="318"/>
      <c r="B18" s="5" t="s">
        <v>3</v>
      </c>
      <c r="C18" s="2">
        <v>404</v>
      </c>
      <c r="D18" s="1">
        <v>2583554</v>
      </c>
      <c r="E18" s="1">
        <v>2599498</v>
      </c>
      <c r="F18" s="41">
        <f t="shared" si="0"/>
        <v>15.944000000000001</v>
      </c>
      <c r="G18" s="22">
        <f t="shared" si="1"/>
        <v>65.61715238095239</v>
      </c>
      <c r="H18" s="45">
        <f t="shared" si="2"/>
        <v>26.260304841269843</v>
      </c>
      <c r="I18" s="42">
        <f t="shared" si="3"/>
        <v>91.877457222222233</v>
      </c>
      <c r="J18" s="30">
        <f t="shared" si="5"/>
        <v>310</v>
      </c>
      <c r="K18" s="195"/>
      <c r="L18" s="27">
        <f t="shared" si="4"/>
        <v>401.87745722222223</v>
      </c>
    </row>
    <row r="19" spans="1:12" ht="15" customHeight="1" x14ac:dyDescent="0.45">
      <c r="A19" s="318"/>
      <c r="B19" s="5" t="s">
        <v>3</v>
      </c>
      <c r="C19" s="2">
        <v>501</v>
      </c>
      <c r="D19" s="1">
        <v>3759896</v>
      </c>
      <c r="E19" s="1">
        <v>3781978</v>
      </c>
      <c r="F19" s="41">
        <f t="shared" si="0"/>
        <v>22.082000000000001</v>
      </c>
      <c r="G19" s="22">
        <f t="shared" si="1"/>
        <v>90.877945238095236</v>
      </c>
      <c r="H19" s="45">
        <f t="shared" si="2"/>
        <v>26.260304841269843</v>
      </c>
      <c r="I19" s="42">
        <f t="shared" si="3"/>
        <v>117.13825007936508</v>
      </c>
      <c r="J19" s="30">
        <f t="shared" si="5"/>
        <v>310</v>
      </c>
      <c r="K19" s="195"/>
      <c r="L19" s="27">
        <f t="shared" si="4"/>
        <v>427.13825007936509</v>
      </c>
    </row>
    <row r="20" spans="1:12" ht="15" customHeight="1" x14ac:dyDescent="0.45">
      <c r="A20" s="318"/>
      <c r="B20" s="5" t="s">
        <v>3</v>
      </c>
      <c r="C20" s="2">
        <v>502</v>
      </c>
      <c r="D20" s="1">
        <v>5593638</v>
      </c>
      <c r="E20" s="1">
        <v>5632461</v>
      </c>
      <c r="F20" s="41">
        <f t="shared" si="0"/>
        <v>38.823</v>
      </c>
      <c r="G20" s="22">
        <f t="shared" si="1"/>
        <v>159.77513214285713</v>
      </c>
      <c r="H20" s="45">
        <f t="shared" si="2"/>
        <v>26.260304841269843</v>
      </c>
      <c r="I20" s="42">
        <f t="shared" si="3"/>
        <v>186.03543698412699</v>
      </c>
      <c r="J20" s="30">
        <f t="shared" si="5"/>
        <v>310</v>
      </c>
      <c r="K20" s="195"/>
      <c r="L20" s="27">
        <f t="shared" si="4"/>
        <v>496.03543698412699</v>
      </c>
    </row>
    <row r="21" spans="1:12" ht="15" customHeight="1" x14ac:dyDescent="0.45">
      <c r="A21" s="318"/>
      <c r="B21" s="5" t="s">
        <v>3</v>
      </c>
      <c r="C21" s="2">
        <v>503</v>
      </c>
      <c r="D21" s="1">
        <v>1845873</v>
      </c>
      <c r="E21" s="1">
        <v>1862634</v>
      </c>
      <c r="F21" s="41">
        <f t="shared" si="0"/>
        <v>16.760999999999999</v>
      </c>
      <c r="G21" s="22">
        <f t="shared" si="1"/>
        <v>68.979496428571423</v>
      </c>
      <c r="H21" s="45">
        <f t="shared" si="2"/>
        <v>26.260304841269843</v>
      </c>
      <c r="I21" s="42">
        <f t="shared" si="3"/>
        <v>95.239801269841266</v>
      </c>
      <c r="J21" s="30">
        <f t="shared" si="5"/>
        <v>310</v>
      </c>
      <c r="K21" s="195"/>
      <c r="L21" s="27">
        <f t="shared" si="4"/>
        <v>405.23980126984128</v>
      </c>
    </row>
    <row r="22" spans="1:12" ht="15.75" customHeight="1" x14ac:dyDescent="0.45">
      <c r="A22" s="318"/>
      <c r="B22" s="5" t="s">
        <v>3</v>
      </c>
      <c r="C22" s="2">
        <v>504</v>
      </c>
      <c r="D22" s="1">
        <v>281517</v>
      </c>
      <c r="E22" s="1">
        <v>283736</v>
      </c>
      <c r="F22" s="41">
        <f t="shared" si="0"/>
        <v>2.2189999999999999</v>
      </c>
      <c r="G22" s="22">
        <f t="shared" si="1"/>
        <v>9.1322416666666655</v>
      </c>
      <c r="H22" s="45">
        <f t="shared" si="2"/>
        <v>26.260304841269843</v>
      </c>
      <c r="I22" s="42">
        <f t="shared" si="3"/>
        <v>35.392546507936508</v>
      </c>
      <c r="J22" s="30">
        <f t="shared" si="5"/>
        <v>310</v>
      </c>
      <c r="K22" s="195"/>
      <c r="L22" s="27">
        <f t="shared" si="4"/>
        <v>345.39254650793652</v>
      </c>
    </row>
    <row r="23" spans="1:12" ht="15" customHeight="1" x14ac:dyDescent="0.45">
      <c r="A23" s="314"/>
      <c r="B23" s="5" t="s">
        <v>4</v>
      </c>
      <c r="C23" s="2">
        <v>101</v>
      </c>
      <c r="D23" s="1">
        <v>80069</v>
      </c>
      <c r="E23" s="1">
        <v>81070</v>
      </c>
      <c r="F23" s="41">
        <f>(E23-D23)*0.01</f>
        <v>10.01</v>
      </c>
      <c r="G23" s="22">
        <f t="shared" si="1"/>
        <v>41.195916666666669</v>
      </c>
      <c r="H23" s="45">
        <f t="shared" si="2"/>
        <v>26.260304841269843</v>
      </c>
      <c r="I23" s="42">
        <f t="shared" si="3"/>
        <v>67.456221507936505</v>
      </c>
      <c r="J23" s="30">
        <f t="shared" si="5"/>
        <v>310</v>
      </c>
      <c r="K23" s="195"/>
      <c r="L23" s="27">
        <f t="shared" si="4"/>
        <v>377.4562215079365</v>
      </c>
    </row>
    <row r="24" spans="1:12" ht="15" customHeight="1" x14ac:dyDescent="0.45">
      <c r="A24" s="314"/>
      <c r="B24" s="5" t="s">
        <v>4</v>
      </c>
      <c r="C24" s="2">
        <v>102</v>
      </c>
      <c r="D24" s="1">
        <v>3380050</v>
      </c>
      <c r="E24" s="1">
        <v>3397699</v>
      </c>
      <c r="F24" s="41">
        <f t="shared" ref="F24:F32" si="6">(E24-D24)*$N$1</f>
        <v>17.649000000000001</v>
      </c>
      <c r="G24" s="22">
        <f t="shared" si="1"/>
        <v>72.634039285714294</v>
      </c>
      <c r="H24" s="45">
        <f t="shared" si="2"/>
        <v>26.260304841269843</v>
      </c>
      <c r="I24" s="42">
        <f t="shared" si="3"/>
        <v>98.894344126984137</v>
      </c>
      <c r="J24" s="30">
        <f t="shared" si="5"/>
        <v>310</v>
      </c>
      <c r="K24" s="195"/>
      <c r="L24" s="27">
        <f t="shared" si="4"/>
        <v>408.89434412698415</v>
      </c>
    </row>
    <row r="25" spans="1:12" ht="15" customHeight="1" x14ac:dyDescent="0.45">
      <c r="A25" s="314"/>
      <c r="B25" s="5" t="s">
        <v>4</v>
      </c>
      <c r="C25" s="2">
        <v>103</v>
      </c>
      <c r="D25" s="1">
        <v>3398587</v>
      </c>
      <c r="E25" s="1">
        <v>3412970</v>
      </c>
      <c r="F25" s="41">
        <f t="shared" si="6"/>
        <v>14.383000000000001</v>
      </c>
      <c r="G25" s="22">
        <f t="shared" si="1"/>
        <v>59.192894047619049</v>
      </c>
      <c r="H25" s="45">
        <f t="shared" si="2"/>
        <v>26.260304841269843</v>
      </c>
      <c r="I25" s="42">
        <f t="shared" si="3"/>
        <v>85.453198888888892</v>
      </c>
      <c r="J25" s="30">
        <f t="shared" si="5"/>
        <v>310</v>
      </c>
      <c r="K25" s="195"/>
      <c r="L25" s="27">
        <f t="shared" si="4"/>
        <v>395.45319888888889</v>
      </c>
    </row>
    <row r="26" spans="1:12" ht="15" customHeight="1" x14ac:dyDescent="0.45">
      <c r="A26" s="314"/>
      <c r="B26" s="5" t="s">
        <v>4</v>
      </c>
      <c r="C26" s="2">
        <v>104</v>
      </c>
      <c r="D26" s="1">
        <v>5216712</v>
      </c>
      <c r="E26" s="1">
        <v>5230431</v>
      </c>
      <c r="F26" s="41">
        <f t="shared" si="6"/>
        <v>13.718999999999999</v>
      </c>
      <c r="G26" s="22">
        <f t="shared" si="1"/>
        <v>56.460217857142858</v>
      </c>
      <c r="H26" s="45">
        <f t="shared" si="2"/>
        <v>26.260304841269843</v>
      </c>
      <c r="I26" s="42">
        <f t="shared" si="3"/>
        <v>82.720522698412708</v>
      </c>
      <c r="J26" s="30">
        <f t="shared" si="5"/>
        <v>310</v>
      </c>
      <c r="K26" s="195"/>
      <c r="L26" s="27">
        <f t="shared" si="4"/>
        <v>392.72052269841271</v>
      </c>
    </row>
    <row r="27" spans="1:12" ht="15" customHeight="1" x14ac:dyDescent="0.45">
      <c r="A27" s="314"/>
      <c r="B27" s="5" t="s">
        <v>4</v>
      </c>
      <c r="C27" s="2">
        <v>201</v>
      </c>
      <c r="D27" s="1">
        <v>2657947</v>
      </c>
      <c r="E27" s="1">
        <v>2683024</v>
      </c>
      <c r="F27" s="41">
        <f t="shared" si="6"/>
        <v>25.077000000000002</v>
      </c>
      <c r="G27" s="22">
        <f t="shared" si="1"/>
        <v>103.20379642857144</v>
      </c>
      <c r="H27" s="45">
        <f t="shared" si="2"/>
        <v>26.260304841269843</v>
      </c>
      <c r="I27" s="42">
        <f t="shared" si="3"/>
        <v>129.46410126984128</v>
      </c>
      <c r="J27" s="30">
        <f t="shared" si="5"/>
        <v>310</v>
      </c>
      <c r="K27" s="195"/>
      <c r="L27" s="27">
        <f t="shared" si="4"/>
        <v>439.46410126984131</v>
      </c>
    </row>
    <row r="28" spans="1:12" ht="15" customHeight="1" x14ac:dyDescent="0.45">
      <c r="A28" s="314"/>
      <c r="B28" s="5" t="s">
        <v>4</v>
      </c>
      <c r="C28" s="2">
        <v>202</v>
      </c>
      <c r="D28" s="1">
        <v>2513224</v>
      </c>
      <c r="E28" s="1">
        <v>2533753</v>
      </c>
      <c r="F28" s="41">
        <f t="shared" si="6"/>
        <v>20.529</v>
      </c>
      <c r="G28" s="22">
        <f t="shared" si="1"/>
        <v>84.486610714285717</v>
      </c>
      <c r="H28" s="45">
        <f t="shared" si="2"/>
        <v>26.260304841269843</v>
      </c>
      <c r="I28" s="42">
        <f t="shared" si="3"/>
        <v>110.74691555555556</v>
      </c>
      <c r="J28" s="30">
        <f t="shared" si="5"/>
        <v>310</v>
      </c>
      <c r="K28" s="195"/>
      <c r="L28" s="27">
        <f t="shared" si="4"/>
        <v>420.74691555555557</v>
      </c>
    </row>
    <row r="29" spans="1:12" ht="15" customHeight="1" x14ac:dyDescent="0.45">
      <c r="A29" s="314"/>
      <c r="B29" s="5" t="s">
        <v>4</v>
      </c>
      <c r="C29" s="2">
        <v>203</v>
      </c>
      <c r="D29" s="1">
        <v>2399215</v>
      </c>
      <c r="E29" s="1">
        <v>2410769</v>
      </c>
      <c r="F29" s="41">
        <f t="shared" si="6"/>
        <v>11.554</v>
      </c>
      <c r="G29" s="22">
        <f t="shared" si="1"/>
        <v>47.550211904761909</v>
      </c>
      <c r="H29" s="45">
        <f t="shared" si="2"/>
        <v>26.260304841269843</v>
      </c>
      <c r="I29" s="42">
        <f t="shared" si="3"/>
        <v>73.810516746031752</v>
      </c>
      <c r="J29" s="30">
        <f t="shared" si="5"/>
        <v>310</v>
      </c>
      <c r="K29" s="195"/>
      <c r="L29" s="27">
        <f t="shared" si="4"/>
        <v>383.81051674603174</v>
      </c>
    </row>
    <row r="30" spans="1:12" ht="15" customHeight="1" x14ac:dyDescent="0.45">
      <c r="A30" s="314"/>
      <c r="B30" s="5" t="s">
        <v>4</v>
      </c>
      <c r="C30" s="2">
        <v>204</v>
      </c>
      <c r="D30" s="1">
        <v>2735554</v>
      </c>
      <c r="E30" s="1">
        <v>2751158</v>
      </c>
      <c r="F30" s="41">
        <f t="shared" si="6"/>
        <v>15.604000000000001</v>
      </c>
      <c r="G30" s="22">
        <f t="shared" si="1"/>
        <v>64.217890476190476</v>
      </c>
      <c r="H30" s="45">
        <f t="shared" si="2"/>
        <v>26.260304841269843</v>
      </c>
      <c r="I30" s="42">
        <f t="shared" si="3"/>
        <v>90.478195317460319</v>
      </c>
      <c r="J30" s="30">
        <f t="shared" si="5"/>
        <v>310</v>
      </c>
      <c r="K30" s="195"/>
      <c r="L30" s="27">
        <f t="shared" si="4"/>
        <v>400.47819531746029</v>
      </c>
    </row>
    <row r="31" spans="1:12" ht="15" customHeight="1" x14ac:dyDescent="0.45">
      <c r="A31" s="314"/>
      <c r="B31" s="5" t="s">
        <v>4</v>
      </c>
      <c r="C31" s="2">
        <v>301</v>
      </c>
      <c r="D31" s="1">
        <v>4182610</v>
      </c>
      <c r="E31" s="1">
        <v>4192094</v>
      </c>
      <c r="F31" s="41">
        <f t="shared" si="6"/>
        <v>9.484</v>
      </c>
      <c r="G31" s="22">
        <f t="shared" si="1"/>
        <v>39.031176190476188</v>
      </c>
      <c r="H31" s="45">
        <f t="shared" si="2"/>
        <v>26.260304841269843</v>
      </c>
      <c r="I31" s="42">
        <f t="shared" si="3"/>
        <v>65.291481031746031</v>
      </c>
      <c r="J31" s="30">
        <f t="shared" si="5"/>
        <v>310</v>
      </c>
      <c r="K31" s="195"/>
      <c r="L31" s="27">
        <f t="shared" si="4"/>
        <v>375.291481031746</v>
      </c>
    </row>
    <row r="32" spans="1:12" ht="15" customHeight="1" x14ac:dyDescent="0.45">
      <c r="A32" s="314"/>
      <c r="B32" s="5" t="s">
        <v>4</v>
      </c>
      <c r="C32" s="2">
        <v>302</v>
      </c>
      <c r="D32" s="1">
        <v>2500200</v>
      </c>
      <c r="E32" s="1">
        <v>2513447</v>
      </c>
      <c r="F32" s="41">
        <f t="shared" si="6"/>
        <v>13.247</v>
      </c>
      <c r="G32" s="22">
        <f t="shared" si="1"/>
        <v>54.517713095238094</v>
      </c>
      <c r="H32" s="45">
        <f t="shared" si="2"/>
        <v>26.260304841269843</v>
      </c>
      <c r="I32" s="42">
        <f t="shared" si="3"/>
        <v>80.778017936507936</v>
      </c>
      <c r="J32" s="30">
        <f t="shared" si="5"/>
        <v>310</v>
      </c>
      <c r="K32" s="195"/>
      <c r="L32" s="27">
        <f t="shared" si="4"/>
        <v>390.77801793650792</v>
      </c>
    </row>
    <row r="33" spans="1:12" ht="15" customHeight="1" x14ac:dyDescent="0.45">
      <c r="A33" s="314"/>
      <c r="B33" s="5" t="s">
        <v>4</v>
      </c>
      <c r="C33" s="2">
        <v>303</v>
      </c>
      <c r="D33" s="1">
        <v>111308</v>
      </c>
      <c r="E33" s="1">
        <v>112352</v>
      </c>
      <c r="F33" s="41">
        <f>(E33-D33)*0.01</f>
        <v>10.44</v>
      </c>
      <c r="G33" s="22">
        <f t="shared" si="1"/>
        <v>42.96557142857143</v>
      </c>
      <c r="H33" s="45">
        <f t="shared" si="2"/>
        <v>26.260304841269843</v>
      </c>
      <c r="I33" s="42">
        <f t="shared" si="3"/>
        <v>69.22587626984128</v>
      </c>
      <c r="J33" s="30">
        <f t="shared" si="5"/>
        <v>310</v>
      </c>
      <c r="K33" s="195"/>
      <c r="L33" s="27">
        <f t="shared" si="4"/>
        <v>379.22587626984125</v>
      </c>
    </row>
    <row r="34" spans="1:12" ht="15" customHeight="1" x14ac:dyDescent="0.45">
      <c r="A34" s="314"/>
      <c r="B34" s="5" t="s">
        <v>4</v>
      </c>
      <c r="C34" s="2">
        <v>304</v>
      </c>
      <c r="D34" s="1">
        <v>3322917</v>
      </c>
      <c r="E34" s="1">
        <v>3350069</v>
      </c>
      <c r="F34" s="41">
        <f t="shared" ref="F34:F42" si="7">(E34-D34)*$N$1</f>
        <v>27.152000000000001</v>
      </c>
      <c r="G34" s="22">
        <f t="shared" si="1"/>
        <v>111.74340952380953</v>
      </c>
      <c r="H34" s="45">
        <f t="shared" si="2"/>
        <v>26.260304841269843</v>
      </c>
      <c r="I34" s="42">
        <f t="shared" si="3"/>
        <v>138.00371436507936</v>
      </c>
      <c r="J34" s="30">
        <f t="shared" si="5"/>
        <v>310</v>
      </c>
      <c r="K34" s="195"/>
      <c r="L34" s="27">
        <f t="shared" si="4"/>
        <v>448.00371436507936</v>
      </c>
    </row>
    <row r="35" spans="1:12" ht="15" customHeight="1" x14ac:dyDescent="0.45">
      <c r="A35" s="314"/>
      <c r="B35" s="5" t="s">
        <v>4</v>
      </c>
      <c r="C35" s="2">
        <v>401</v>
      </c>
      <c r="D35" s="1">
        <v>3239731</v>
      </c>
      <c r="E35" s="1">
        <v>3260104</v>
      </c>
      <c r="F35" s="41">
        <f t="shared" si="7"/>
        <v>20.373000000000001</v>
      </c>
      <c r="G35" s="22">
        <f t="shared" si="1"/>
        <v>83.844596428571435</v>
      </c>
      <c r="H35" s="45">
        <f t="shared" si="2"/>
        <v>26.260304841269843</v>
      </c>
      <c r="I35" s="42">
        <f t="shared" si="3"/>
        <v>110.10490126984128</v>
      </c>
      <c r="J35" s="30">
        <f t="shared" si="5"/>
        <v>310</v>
      </c>
      <c r="K35" s="195"/>
      <c r="L35" s="27">
        <f t="shared" si="4"/>
        <v>420.10490126984126</v>
      </c>
    </row>
    <row r="36" spans="1:12" ht="15" customHeight="1" x14ac:dyDescent="0.45">
      <c r="A36" s="314"/>
      <c r="B36" s="5" t="s">
        <v>4</v>
      </c>
      <c r="C36" s="2">
        <v>402</v>
      </c>
      <c r="D36" s="1">
        <v>1274076</v>
      </c>
      <c r="E36" s="1">
        <v>1287694</v>
      </c>
      <c r="F36" s="41">
        <f t="shared" si="7"/>
        <v>13.618</v>
      </c>
      <c r="G36" s="22">
        <f t="shared" si="1"/>
        <v>56.044554761904763</v>
      </c>
      <c r="H36" s="45">
        <f t="shared" si="2"/>
        <v>26.260304841269843</v>
      </c>
      <c r="I36" s="42">
        <f t="shared" si="3"/>
        <v>82.304859603174606</v>
      </c>
      <c r="J36" s="30">
        <f t="shared" si="5"/>
        <v>310</v>
      </c>
      <c r="K36" s="195"/>
      <c r="L36" s="27">
        <f t="shared" si="4"/>
        <v>392.30485960317458</v>
      </c>
    </row>
    <row r="37" spans="1:12" ht="15" customHeight="1" x14ac:dyDescent="0.45">
      <c r="A37" s="314"/>
      <c r="B37" s="242" t="s">
        <v>4</v>
      </c>
      <c r="C37" s="2">
        <v>403</v>
      </c>
      <c r="D37" s="1">
        <v>1514971</v>
      </c>
      <c r="E37" s="1">
        <v>1526815</v>
      </c>
      <c r="F37" s="41">
        <f t="shared" si="7"/>
        <v>11.843999999999999</v>
      </c>
      <c r="G37" s="22">
        <f t="shared" si="1"/>
        <v>48.743699999999997</v>
      </c>
      <c r="H37" s="45">
        <f t="shared" si="2"/>
        <v>26.260304841269843</v>
      </c>
      <c r="I37" s="42">
        <f t="shared" si="3"/>
        <v>75.004004841269847</v>
      </c>
      <c r="J37" s="30">
        <f t="shared" si="5"/>
        <v>310</v>
      </c>
      <c r="K37" s="195"/>
      <c r="L37" s="27">
        <f t="shared" si="4"/>
        <v>385.00400484126988</v>
      </c>
    </row>
    <row r="38" spans="1:12" ht="15" customHeight="1" x14ac:dyDescent="0.45">
      <c r="A38" s="314"/>
      <c r="B38" s="5" t="s">
        <v>4</v>
      </c>
      <c r="C38" s="2">
        <v>404</v>
      </c>
      <c r="D38" s="1">
        <v>3754016</v>
      </c>
      <c r="E38" s="1">
        <v>3773523</v>
      </c>
      <c r="F38" s="41">
        <f t="shared" si="7"/>
        <v>19.507000000000001</v>
      </c>
      <c r="G38" s="22">
        <f t="shared" si="1"/>
        <v>80.280594047619047</v>
      </c>
      <c r="H38" s="45">
        <f t="shared" si="2"/>
        <v>26.260304841269843</v>
      </c>
      <c r="I38" s="42">
        <f t="shared" si="3"/>
        <v>106.54089888888889</v>
      </c>
      <c r="J38" s="30">
        <f t="shared" si="5"/>
        <v>310</v>
      </c>
      <c r="K38" s="195"/>
      <c r="L38" s="27">
        <f t="shared" si="4"/>
        <v>416.54089888888888</v>
      </c>
    </row>
    <row r="39" spans="1:12" ht="15" customHeight="1" x14ac:dyDescent="0.45">
      <c r="A39" s="314"/>
      <c r="B39" s="5" t="s">
        <v>4</v>
      </c>
      <c r="C39" s="2">
        <v>501</v>
      </c>
      <c r="D39" s="1">
        <v>4881149</v>
      </c>
      <c r="E39" s="1">
        <v>4947138</v>
      </c>
      <c r="F39" s="41">
        <f t="shared" si="7"/>
        <v>65.989000000000004</v>
      </c>
      <c r="G39" s="22">
        <f t="shared" si="1"/>
        <v>271.57615833333335</v>
      </c>
      <c r="H39" s="45">
        <f t="shared" si="2"/>
        <v>26.260304841269843</v>
      </c>
      <c r="I39" s="42">
        <f t="shared" si="3"/>
        <v>297.83646317460318</v>
      </c>
      <c r="J39" s="30">
        <f t="shared" si="5"/>
        <v>310</v>
      </c>
      <c r="K39" s="195"/>
      <c r="L39" s="27">
        <f t="shared" si="4"/>
        <v>607.83646317460318</v>
      </c>
    </row>
    <row r="40" spans="1:12" ht="15" customHeight="1" x14ac:dyDescent="0.45">
      <c r="A40" s="314"/>
      <c r="B40" s="5" t="s">
        <v>4</v>
      </c>
      <c r="C40" s="2">
        <v>502</v>
      </c>
      <c r="D40" s="1">
        <v>6582786</v>
      </c>
      <c r="E40" s="1">
        <v>6602985</v>
      </c>
      <c r="F40" s="41">
        <f t="shared" si="7"/>
        <v>20.199000000000002</v>
      </c>
      <c r="G40" s="22">
        <f t="shared" si="1"/>
        <v>83.128503571428581</v>
      </c>
      <c r="H40" s="45">
        <f t="shared" si="2"/>
        <v>26.260304841269843</v>
      </c>
      <c r="I40" s="42">
        <f t="shared" si="3"/>
        <v>109.38880841269842</v>
      </c>
      <c r="J40" s="30">
        <f t="shared" si="5"/>
        <v>310</v>
      </c>
      <c r="K40" s="195"/>
      <c r="L40" s="27">
        <f t="shared" si="4"/>
        <v>419.38880841269844</v>
      </c>
    </row>
    <row r="41" spans="1:12" ht="15" customHeight="1" x14ac:dyDescent="0.45">
      <c r="A41" s="314"/>
      <c r="B41" s="5" t="s">
        <v>4</v>
      </c>
      <c r="C41" s="2">
        <v>503</v>
      </c>
      <c r="D41" s="1">
        <v>3668088</v>
      </c>
      <c r="E41" s="1">
        <v>3689272</v>
      </c>
      <c r="F41" s="41">
        <f t="shared" si="7"/>
        <v>21.184000000000001</v>
      </c>
      <c r="G41" s="22">
        <f t="shared" si="1"/>
        <v>87.182247619047629</v>
      </c>
      <c r="H41" s="45">
        <f t="shared" si="2"/>
        <v>26.260304841269843</v>
      </c>
      <c r="I41" s="42">
        <f t="shared" si="3"/>
        <v>113.44255246031747</v>
      </c>
      <c r="J41" s="30">
        <f t="shared" si="5"/>
        <v>310</v>
      </c>
      <c r="K41" s="195"/>
      <c r="L41" s="27">
        <f t="shared" si="4"/>
        <v>423.44255246031747</v>
      </c>
    </row>
    <row r="42" spans="1:12" ht="15.75" customHeight="1" x14ac:dyDescent="0.45">
      <c r="A42" s="314"/>
      <c r="B42" s="5" t="s">
        <v>4</v>
      </c>
      <c r="C42" s="2">
        <v>504</v>
      </c>
      <c r="D42" s="1">
        <v>2941257</v>
      </c>
      <c r="E42" s="1">
        <v>2947248</v>
      </c>
      <c r="F42" s="41">
        <f t="shared" si="7"/>
        <v>5.9910000000000005</v>
      </c>
      <c r="G42" s="22">
        <f t="shared" si="1"/>
        <v>24.655817857142861</v>
      </c>
      <c r="H42" s="45">
        <f t="shared" si="2"/>
        <v>26.260304841269843</v>
      </c>
      <c r="I42" s="42">
        <f t="shared" si="3"/>
        <v>50.916122698412707</v>
      </c>
      <c r="J42" s="30">
        <f t="shared" si="5"/>
        <v>310</v>
      </c>
      <c r="K42" s="195"/>
      <c r="L42" s="27">
        <f t="shared" si="4"/>
        <v>360.91612269841272</v>
      </c>
    </row>
    <row r="43" spans="1:12" ht="15" customHeight="1" x14ac:dyDescent="0.45">
      <c r="A43" s="318"/>
      <c r="B43" s="5" t="s">
        <v>5</v>
      </c>
      <c r="C43" s="2">
        <v>101</v>
      </c>
      <c r="D43" s="1">
        <v>26989</v>
      </c>
      <c r="E43" s="1">
        <v>28345</v>
      </c>
      <c r="F43" s="41">
        <f>(E43-D43)*0.01</f>
        <v>13.56</v>
      </c>
      <c r="G43" s="22">
        <f t="shared" si="1"/>
        <v>55.805857142857143</v>
      </c>
      <c r="H43" s="45">
        <f t="shared" si="2"/>
        <v>26.260304841269843</v>
      </c>
      <c r="I43" s="42">
        <f t="shared" si="3"/>
        <v>82.066161984126978</v>
      </c>
      <c r="J43" s="30">
        <f t="shared" si="5"/>
        <v>310</v>
      </c>
      <c r="K43" s="195"/>
      <c r="L43" s="27">
        <f t="shared" si="4"/>
        <v>392.06616198412701</v>
      </c>
    </row>
    <row r="44" spans="1:12" ht="15" customHeight="1" x14ac:dyDescent="0.45">
      <c r="A44" s="318"/>
      <c r="B44" s="5" t="s">
        <v>5</v>
      </c>
      <c r="C44" s="2">
        <v>102</v>
      </c>
      <c r="D44" s="1">
        <v>2868097</v>
      </c>
      <c r="E44" s="1">
        <v>2888628</v>
      </c>
      <c r="F44" s="41">
        <f t="shared" ref="F44:F56" si="8">(E44-D44)*$N$1</f>
        <v>20.530999999999999</v>
      </c>
      <c r="G44" s="22">
        <f t="shared" si="1"/>
        <v>84.494841666666659</v>
      </c>
      <c r="H44" s="45">
        <f t="shared" si="2"/>
        <v>26.260304841269843</v>
      </c>
      <c r="I44" s="42">
        <f t="shared" si="3"/>
        <v>110.7551465079365</v>
      </c>
      <c r="J44" s="30">
        <f t="shared" si="5"/>
        <v>310</v>
      </c>
      <c r="K44" s="195"/>
      <c r="L44" s="27">
        <f t="shared" si="4"/>
        <v>420.7551465079365</v>
      </c>
    </row>
    <row r="45" spans="1:12" ht="15" customHeight="1" x14ac:dyDescent="0.45">
      <c r="A45" s="318"/>
      <c r="B45" s="5" t="s">
        <v>5</v>
      </c>
      <c r="C45" s="2">
        <v>103</v>
      </c>
      <c r="D45" s="1">
        <v>984463</v>
      </c>
      <c r="E45" s="1">
        <v>986278</v>
      </c>
      <c r="F45" s="41">
        <f t="shared" si="8"/>
        <v>1.8149999999999999</v>
      </c>
      <c r="G45" s="22">
        <f t="shared" si="1"/>
        <v>7.4695892857142852</v>
      </c>
      <c r="H45" s="45">
        <f t="shared" si="2"/>
        <v>26.260304841269843</v>
      </c>
      <c r="I45" s="42">
        <f t="shared" si="3"/>
        <v>33.729894126984128</v>
      </c>
      <c r="J45" s="30">
        <f t="shared" si="5"/>
        <v>310</v>
      </c>
      <c r="K45" s="195"/>
      <c r="L45" s="27">
        <f t="shared" si="4"/>
        <v>343.72989412698411</v>
      </c>
    </row>
    <row r="46" spans="1:12" ht="15" customHeight="1" x14ac:dyDescent="0.45">
      <c r="A46" s="318"/>
      <c r="B46" s="5" t="s">
        <v>5</v>
      </c>
      <c r="C46" s="2">
        <v>104</v>
      </c>
      <c r="D46" s="1">
        <v>4160117</v>
      </c>
      <c r="E46" s="1">
        <v>4176249</v>
      </c>
      <c r="F46" s="41">
        <f t="shared" si="8"/>
        <v>16.132000000000001</v>
      </c>
      <c r="G46" s="22">
        <f t="shared" si="1"/>
        <v>66.390861904761906</v>
      </c>
      <c r="H46" s="45">
        <f t="shared" si="2"/>
        <v>26.260304841269843</v>
      </c>
      <c r="I46" s="42">
        <f t="shared" si="3"/>
        <v>92.651166746031748</v>
      </c>
      <c r="J46" s="30">
        <f t="shared" si="5"/>
        <v>310</v>
      </c>
      <c r="K46" s="195"/>
      <c r="L46" s="27">
        <f t="shared" si="4"/>
        <v>402.65116674603178</v>
      </c>
    </row>
    <row r="47" spans="1:12" ht="15" customHeight="1" x14ac:dyDescent="0.45">
      <c r="A47" s="318"/>
      <c r="B47" s="5" t="s">
        <v>5</v>
      </c>
      <c r="C47" s="2">
        <v>201</v>
      </c>
      <c r="D47" s="1">
        <v>3905152</v>
      </c>
      <c r="E47" s="1">
        <v>3933977</v>
      </c>
      <c r="F47" s="41">
        <f t="shared" si="8"/>
        <v>28.824999999999999</v>
      </c>
      <c r="G47" s="22">
        <f t="shared" si="1"/>
        <v>118.62860119047619</v>
      </c>
      <c r="H47" s="45">
        <f t="shared" si="2"/>
        <v>26.260304841269843</v>
      </c>
      <c r="I47" s="42">
        <f t="shared" si="3"/>
        <v>144.88890603174605</v>
      </c>
      <c r="J47" s="30">
        <f t="shared" si="5"/>
        <v>310</v>
      </c>
      <c r="K47" s="195"/>
      <c r="L47" s="27">
        <f t="shared" si="4"/>
        <v>454.88890603174605</v>
      </c>
    </row>
    <row r="48" spans="1:12" ht="15" customHeight="1" x14ac:dyDescent="0.45">
      <c r="A48" s="318"/>
      <c r="B48" s="5" t="s">
        <v>5</v>
      </c>
      <c r="C48" s="2">
        <v>202</v>
      </c>
      <c r="D48" s="1">
        <v>2934597</v>
      </c>
      <c r="E48" s="1">
        <v>2963625</v>
      </c>
      <c r="F48" s="41">
        <f t="shared" si="8"/>
        <v>29.028000000000002</v>
      </c>
      <c r="G48" s="22">
        <f t="shared" si="1"/>
        <v>119.46404285714287</v>
      </c>
      <c r="H48" s="45">
        <f t="shared" si="2"/>
        <v>26.260304841269843</v>
      </c>
      <c r="I48" s="42">
        <f t="shared" si="3"/>
        <v>145.72434769841271</v>
      </c>
      <c r="J48" s="30">
        <f t="shared" si="5"/>
        <v>310</v>
      </c>
      <c r="K48" s="195"/>
      <c r="L48" s="27">
        <f t="shared" si="4"/>
        <v>455.72434769841271</v>
      </c>
    </row>
    <row r="49" spans="1:12" ht="15" customHeight="1" x14ac:dyDescent="0.45">
      <c r="A49" s="318"/>
      <c r="B49" s="5" t="s">
        <v>5</v>
      </c>
      <c r="C49" s="2">
        <v>203</v>
      </c>
      <c r="D49" s="1">
        <v>2345755</v>
      </c>
      <c r="E49" s="1">
        <v>2358792</v>
      </c>
      <c r="F49" s="41">
        <f t="shared" si="8"/>
        <v>13.037000000000001</v>
      </c>
      <c r="G49" s="22">
        <f t="shared" si="1"/>
        <v>53.653463095238102</v>
      </c>
      <c r="H49" s="45">
        <f t="shared" si="2"/>
        <v>26.260304841269843</v>
      </c>
      <c r="I49" s="42">
        <f t="shared" si="3"/>
        <v>79.913767936507952</v>
      </c>
      <c r="J49" s="30">
        <f t="shared" si="5"/>
        <v>310</v>
      </c>
      <c r="K49" s="195"/>
      <c r="L49" s="27">
        <f t="shared" si="4"/>
        <v>389.91376793650795</v>
      </c>
    </row>
    <row r="50" spans="1:12" ht="15" customHeight="1" x14ac:dyDescent="0.45">
      <c r="A50" s="318"/>
      <c r="B50" s="5" t="s">
        <v>5</v>
      </c>
      <c r="C50" s="2">
        <v>204</v>
      </c>
      <c r="D50" s="1">
        <v>2266626</v>
      </c>
      <c r="E50" s="1">
        <v>2276933</v>
      </c>
      <c r="F50" s="41">
        <f t="shared" si="8"/>
        <v>10.307</v>
      </c>
      <c r="G50" s="22">
        <f t="shared" si="1"/>
        <v>42.418213095238094</v>
      </c>
      <c r="H50" s="45">
        <f t="shared" si="2"/>
        <v>26.260304841269843</v>
      </c>
      <c r="I50" s="42">
        <f t="shared" si="3"/>
        <v>68.678517936507944</v>
      </c>
      <c r="J50" s="30">
        <f t="shared" si="5"/>
        <v>310</v>
      </c>
      <c r="K50" s="195"/>
      <c r="L50" s="27">
        <f t="shared" si="4"/>
        <v>378.67851793650794</v>
      </c>
    </row>
    <row r="51" spans="1:12" ht="15" customHeight="1" x14ac:dyDescent="0.45">
      <c r="A51" s="318"/>
      <c r="B51" s="5" t="s">
        <v>5</v>
      </c>
      <c r="C51" s="2">
        <v>301</v>
      </c>
      <c r="D51" s="1">
        <v>2687426</v>
      </c>
      <c r="E51" s="1">
        <v>2699171</v>
      </c>
      <c r="F51" s="41">
        <f t="shared" si="8"/>
        <v>11.745000000000001</v>
      </c>
      <c r="G51" s="22">
        <f t="shared" si="1"/>
        <v>48.336267857142865</v>
      </c>
      <c r="H51" s="45">
        <f t="shared" si="2"/>
        <v>26.260304841269843</v>
      </c>
      <c r="I51" s="42">
        <f t="shared" si="3"/>
        <v>74.5965726984127</v>
      </c>
      <c r="J51" s="30">
        <f t="shared" si="5"/>
        <v>310</v>
      </c>
      <c r="K51" s="195"/>
      <c r="L51" s="27">
        <f t="shared" si="4"/>
        <v>384.59657269841273</v>
      </c>
    </row>
    <row r="52" spans="1:12" ht="15" customHeight="1" x14ac:dyDescent="0.45">
      <c r="A52" s="318"/>
      <c r="B52" s="5" t="s">
        <v>5</v>
      </c>
      <c r="C52" s="2">
        <v>302</v>
      </c>
      <c r="D52" s="1">
        <v>4041961</v>
      </c>
      <c r="E52" s="1">
        <v>4056395</v>
      </c>
      <c r="F52" s="41">
        <f t="shared" si="8"/>
        <v>14.434000000000001</v>
      </c>
      <c r="G52" s="22">
        <f t="shared" si="1"/>
        <v>59.402783333333339</v>
      </c>
      <c r="H52" s="45">
        <f t="shared" si="2"/>
        <v>26.260304841269843</v>
      </c>
      <c r="I52" s="42">
        <f t="shared" si="3"/>
        <v>85.663088174603189</v>
      </c>
      <c r="J52" s="30">
        <f t="shared" si="5"/>
        <v>310</v>
      </c>
      <c r="K52" s="195"/>
      <c r="L52" s="27">
        <f t="shared" si="4"/>
        <v>395.66308817460322</v>
      </c>
    </row>
    <row r="53" spans="1:12" ht="15" customHeight="1" x14ac:dyDescent="0.45">
      <c r="A53" s="318"/>
      <c r="B53" s="5" t="s">
        <v>5</v>
      </c>
      <c r="C53" s="2">
        <v>303</v>
      </c>
      <c r="D53" s="1">
        <v>3653966</v>
      </c>
      <c r="E53" s="1">
        <v>3664883</v>
      </c>
      <c r="F53" s="41">
        <f t="shared" si="8"/>
        <v>10.917</v>
      </c>
      <c r="G53" s="22">
        <f t="shared" si="1"/>
        <v>44.928653571428569</v>
      </c>
      <c r="H53" s="45">
        <f t="shared" si="2"/>
        <v>26.260304841269843</v>
      </c>
      <c r="I53" s="42">
        <f t="shared" si="3"/>
        <v>71.188958412698412</v>
      </c>
      <c r="J53" s="30">
        <f t="shared" si="5"/>
        <v>310</v>
      </c>
      <c r="K53" s="195"/>
      <c r="L53" s="27">
        <f t="shared" si="4"/>
        <v>381.18895841269841</v>
      </c>
    </row>
    <row r="54" spans="1:12" ht="15" customHeight="1" x14ac:dyDescent="0.45">
      <c r="A54" s="318"/>
      <c r="B54" s="5" t="s">
        <v>5</v>
      </c>
      <c r="C54" s="2">
        <v>304</v>
      </c>
      <c r="D54" s="1">
        <v>2893181</v>
      </c>
      <c r="E54" s="1">
        <v>2906159</v>
      </c>
      <c r="F54" s="41">
        <f t="shared" si="8"/>
        <v>12.978</v>
      </c>
      <c r="G54" s="22">
        <f t="shared" si="1"/>
        <v>53.410649999999997</v>
      </c>
      <c r="H54" s="45">
        <f t="shared" si="2"/>
        <v>26.260304841269843</v>
      </c>
      <c r="I54" s="42">
        <f t="shared" si="3"/>
        <v>79.670954841269833</v>
      </c>
      <c r="J54" s="30">
        <f t="shared" si="5"/>
        <v>310</v>
      </c>
      <c r="K54" s="195"/>
      <c r="L54" s="27">
        <f t="shared" si="4"/>
        <v>389.6709548412698</v>
      </c>
    </row>
    <row r="55" spans="1:12" ht="15" customHeight="1" x14ac:dyDescent="0.45">
      <c r="A55" s="318"/>
      <c r="B55" s="5" t="s">
        <v>5</v>
      </c>
      <c r="C55" s="2">
        <v>401</v>
      </c>
      <c r="D55" s="1">
        <v>3022251</v>
      </c>
      <c r="E55" s="1">
        <v>3029469</v>
      </c>
      <c r="F55" s="41">
        <f t="shared" si="8"/>
        <v>7.218</v>
      </c>
      <c r="G55" s="22">
        <f t="shared" si="1"/>
        <v>29.705507142857144</v>
      </c>
      <c r="H55" s="45">
        <f t="shared" si="2"/>
        <v>26.260304841269843</v>
      </c>
      <c r="I55" s="42">
        <f t="shared" si="3"/>
        <v>55.965811984126987</v>
      </c>
      <c r="J55" s="30">
        <f t="shared" si="5"/>
        <v>310</v>
      </c>
      <c r="K55" s="195"/>
      <c r="L55" s="27">
        <f t="shared" si="4"/>
        <v>365.96581198412696</v>
      </c>
    </row>
    <row r="56" spans="1:12" ht="15" customHeight="1" x14ac:dyDescent="0.45">
      <c r="A56" s="318"/>
      <c r="B56" s="5" t="s">
        <v>5</v>
      </c>
      <c r="C56" s="2">
        <v>402</v>
      </c>
      <c r="D56" s="1">
        <v>1309317</v>
      </c>
      <c r="E56" s="1">
        <v>1318610</v>
      </c>
      <c r="F56" s="41">
        <f t="shared" si="8"/>
        <v>9.293000000000001</v>
      </c>
      <c r="G56" s="22">
        <f t="shared" si="1"/>
        <v>38.24512023809524</v>
      </c>
      <c r="H56" s="45">
        <f t="shared" si="2"/>
        <v>26.260304841269843</v>
      </c>
      <c r="I56" s="42">
        <f t="shared" si="3"/>
        <v>64.505425079365082</v>
      </c>
      <c r="J56" s="30">
        <f t="shared" si="5"/>
        <v>310</v>
      </c>
      <c r="K56" s="195"/>
      <c r="L56" s="27">
        <f t="shared" si="4"/>
        <v>374.50542507936507</v>
      </c>
    </row>
    <row r="57" spans="1:12" ht="15" customHeight="1" x14ac:dyDescent="0.45">
      <c r="A57" s="318"/>
      <c r="B57" s="5" t="s">
        <v>5</v>
      </c>
      <c r="C57" s="2">
        <v>403</v>
      </c>
      <c r="D57" s="1">
        <v>160355</v>
      </c>
      <c r="E57" s="1">
        <v>161742</v>
      </c>
      <c r="F57" s="41">
        <f>(E57-D57)*0.01</f>
        <v>13.870000000000001</v>
      </c>
      <c r="G57" s="22">
        <f t="shared" si="1"/>
        <v>57.081654761904765</v>
      </c>
      <c r="H57" s="45">
        <f t="shared" si="2"/>
        <v>26.260304841269843</v>
      </c>
      <c r="I57" s="42">
        <f t="shared" si="3"/>
        <v>83.341959603174615</v>
      </c>
      <c r="J57" s="30">
        <f t="shared" si="5"/>
        <v>310</v>
      </c>
      <c r="K57" s="195"/>
      <c r="L57" s="27">
        <f t="shared" si="4"/>
        <v>393.34195960317459</v>
      </c>
    </row>
    <row r="58" spans="1:12" ht="15" customHeight="1" x14ac:dyDescent="0.45">
      <c r="A58" s="318"/>
      <c r="B58" s="5" t="s">
        <v>5</v>
      </c>
      <c r="C58" s="2">
        <v>404</v>
      </c>
      <c r="D58" s="1">
        <v>1939961</v>
      </c>
      <c r="E58" s="1">
        <v>1950329</v>
      </c>
      <c r="F58" s="41">
        <f t="shared" ref="F58:F87" si="9">(E58-D58)*$N$1</f>
        <v>10.368</v>
      </c>
      <c r="G58" s="22">
        <f t="shared" si="1"/>
        <v>42.669257142857141</v>
      </c>
      <c r="H58" s="45">
        <f t="shared" si="2"/>
        <v>26.260304841269843</v>
      </c>
      <c r="I58" s="42">
        <f t="shared" si="3"/>
        <v>68.929561984126991</v>
      </c>
      <c r="J58" s="30">
        <f t="shared" si="5"/>
        <v>310</v>
      </c>
      <c r="K58" s="195"/>
      <c r="L58" s="27">
        <f t="shared" si="4"/>
        <v>378.92956198412696</v>
      </c>
    </row>
    <row r="59" spans="1:12" ht="15" customHeight="1" x14ac:dyDescent="0.45">
      <c r="A59" s="318"/>
      <c r="B59" s="5" t="s">
        <v>5</v>
      </c>
      <c r="C59" s="2">
        <v>501</v>
      </c>
      <c r="D59" s="1">
        <v>2873370</v>
      </c>
      <c r="E59" s="1">
        <v>2920005</v>
      </c>
      <c r="F59" s="41">
        <f t="shared" si="9"/>
        <v>46.634999999999998</v>
      </c>
      <c r="G59" s="22">
        <f t="shared" si="1"/>
        <v>191.92523214285714</v>
      </c>
      <c r="H59" s="45">
        <f t="shared" si="2"/>
        <v>26.260304841269843</v>
      </c>
      <c r="I59" s="42">
        <f t="shared" si="3"/>
        <v>218.185536984127</v>
      </c>
      <c r="J59" s="30">
        <f t="shared" si="5"/>
        <v>310</v>
      </c>
      <c r="K59" s="195"/>
      <c r="L59" s="27">
        <f t="shared" si="4"/>
        <v>528.185536984127</v>
      </c>
    </row>
    <row r="60" spans="1:12" ht="15" customHeight="1" x14ac:dyDescent="0.45">
      <c r="A60" s="318"/>
      <c r="B60" s="5" t="s">
        <v>5</v>
      </c>
      <c r="C60" s="2">
        <v>502</v>
      </c>
      <c r="D60" s="1">
        <v>3444139</v>
      </c>
      <c r="E60" s="1">
        <v>3457169</v>
      </c>
      <c r="F60" s="41">
        <f t="shared" si="9"/>
        <v>13.030000000000001</v>
      </c>
      <c r="G60" s="22">
        <f t="shared" si="1"/>
        <v>53.624654761904765</v>
      </c>
      <c r="H60" s="45">
        <f t="shared" si="2"/>
        <v>26.260304841269843</v>
      </c>
      <c r="I60" s="42">
        <f t="shared" si="3"/>
        <v>79.884959603174607</v>
      </c>
      <c r="J60" s="30">
        <f t="shared" si="5"/>
        <v>310</v>
      </c>
      <c r="K60" s="195"/>
      <c r="L60" s="27">
        <f t="shared" si="4"/>
        <v>389.88495960317459</v>
      </c>
    </row>
    <row r="61" spans="1:12" ht="15" customHeight="1" x14ac:dyDescent="0.45">
      <c r="A61" s="318"/>
      <c r="B61" s="5" t="s">
        <v>5</v>
      </c>
      <c r="C61" s="2">
        <v>503</v>
      </c>
      <c r="D61" s="1">
        <v>4395738</v>
      </c>
      <c r="E61" s="1">
        <v>4423976</v>
      </c>
      <c r="F61" s="41">
        <f t="shared" si="9"/>
        <v>28.238</v>
      </c>
      <c r="G61" s="22">
        <f t="shared" si="1"/>
        <v>116.21281666666667</v>
      </c>
      <c r="H61" s="45">
        <f t="shared" si="2"/>
        <v>26.260304841269843</v>
      </c>
      <c r="I61" s="42">
        <f t="shared" si="3"/>
        <v>142.47312150793653</v>
      </c>
      <c r="J61" s="30">
        <f t="shared" si="5"/>
        <v>310</v>
      </c>
      <c r="K61" s="195"/>
      <c r="L61" s="27">
        <f t="shared" si="4"/>
        <v>452.47312150793653</v>
      </c>
    </row>
    <row r="62" spans="1:12" ht="15.75" customHeight="1" x14ac:dyDescent="0.45">
      <c r="A62" s="318"/>
      <c r="B62" s="5" t="s">
        <v>5</v>
      </c>
      <c r="C62" s="2">
        <v>504</v>
      </c>
      <c r="D62" s="1">
        <v>2085083</v>
      </c>
      <c r="E62" s="1">
        <v>2103174</v>
      </c>
      <c r="F62" s="41">
        <f t="shared" si="9"/>
        <v>18.091000000000001</v>
      </c>
      <c r="G62" s="22">
        <f t="shared" si="1"/>
        <v>74.45307976190476</v>
      </c>
      <c r="H62" s="45">
        <f t="shared" si="2"/>
        <v>26.260304841269843</v>
      </c>
      <c r="I62" s="42">
        <f t="shared" si="3"/>
        <v>100.7133846031746</v>
      </c>
      <c r="J62" s="30">
        <f t="shared" si="5"/>
        <v>310</v>
      </c>
      <c r="K62" s="195"/>
      <c r="L62" s="27">
        <f t="shared" si="4"/>
        <v>410.71338460317463</v>
      </c>
    </row>
    <row r="63" spans="1:12" ht="15" customHeight="1" x14ac:dyDescent="0.45">
      <c r="A63" s="314"/>
      <c r="B63" s="5" t="s">
        <v>6</v>
      </c>
      <c r="C63" s="2">
        <v>101</v>
      </c>
      <c r="D63" s="1">
        <v>4820963</v>
      </c>
      <c r="E63" s="1">
        <v>4847099</v>
      </c>
      <c r="F63" s="41">
        <f t="shared" si="9"/>
        <v>26.135999999999999</v>
      </c>
      <c r="G63" s="22">
        <f t="shared" si="1"/>
        <v>107.56208571428571</v>
      </c>
      <c r="H63" s="45">
        <f t="shared" si="2"/>
        <v>26.260304841269843</v>
      </c>
      <c r="I63" s="42">
        <f t="shared" si="3"/>
        <v>133.82239055555556</v>
      </c>
      <c r="J63" s="30">
        <f t="shared" si="5"/>
        <v>310</v>
      </c>
      <c r="K63" s="195"/>
      <c r="L63" s="27">
        <f t="shared" si="4"/>
        <v>443.82239055555556</v>
      </c>
    </row>
    <row r="64" spans="1:12" ht="15" customHeight="1" x14ac:dyDescent="0.45">
      <c r="A64" s="314"/>
      <c r="B64" s="5" t="s">
        <v>6</v>
      </c>
      <c r="C64" s="2">
        <v>102</v>
      </c>
      <c r="D64" s="1">
        <v>4659977</v>
      </c>
      <c r="E64" s="1">
        <v>4666665</v>
      </c>
      <c r="F64" s="41">
        <f t="shared" si="9"/>
        <v>6.6879999999999997</v>
      </c>
      <c r="G64" s="22">
        <f>MMULT($G$1,1/$F$183)*F64</f>
        <v>27.524304761904762</v>
      </c>
      <c r="H64" s="45">
        <f t="shared" si="2"/>
        <v>26.260304841269843</v>
      </c>
      <c r="I64" s="42">
        <f t="shared" si="3"/>
        <v>53.784609603174601</v>
      </c>
      <c r="J64" s="30">
        <f t="shared" si="5"/>
        <v>310</v>
      </c>
      <c r="K64" s="195"/>
      <c r="L64" s="27">
        <f t="shared" si="4"/>
        <v>363.7846096031746</v>
      </c>
    </row>
    <row r="65" spans="1:12" ht="15" customHeight="1" x14ac:dyDescent="0.45">
      <c r="A65" s="314"/>
      <c r="B65" s="5" t="s">
        <v>6</v>
      </c>
      <c r="C65" s="2">
        <v>103</v>
      </c>
      <c r="D65" s="1">
        <v>3355031</v>
      </c>
      <c r="E65" s="1">
        <v>3370161</v>
      </c>
      <c r="F65" s="41">
        <f t="shared" si="9"/>
        <v>15.13</v>
      </c>
      <c r="G65" s="22">
        <f t="shared" si="1"/>
        <v>62.267154761904763</v>
      </c>
      <c r="H65" s="45">
        <f t="shared" si="2"/>
        <v>26.260304841269843</v>
      </c>
      <c r="I65" s="42">
        <f t="shared" si="3"/>
        <v>88.527459603174606</v>
      </c>
      <c r="J65" s="30">
        <f t="shared" si="5"/>
        <v>310</v>
      </c>
      <c r="K65" s="195"/>
      <c r="L65" s="27">
        <f>SUM(I65,J65,K65)</f>
        <v>398.52745960317463</v>
      </c>
    </row>
    <row r="66" spans="1:12" ht="15" customHeight="1" x14ac:dyDescent="0.45">
      <c r="A66" s="314"/>
      <c r="B66" s="5" t="s">
        <v>6</v>
      </c>
      <c r="C66" s="2">
        <v>104</v>
      </c>
      <c r="D66" s="1">
        <v>70574</v>
      </c>
      <c r="E66" s="1">
        <v>90189</v>
      </c>
      <c r="F66" s="41">
        <f t="shared" si="9"/>
        <v>19.615000000000002</v>
      </c>
      <c r="G66" s="22">
        <f t="shared" si="1"/>
        <v>80.72506547619048</v>
      </c>
      <c r="H66" s="45">
        <f t="shared" si="2"/>
        <v>26.260304841269843</v>
      </c>
      <c r="I66" s="42">
        <f t="shared" si="3"/>
        <v>106.98537031746032</v>
      </c>
      <c r="J66" s="30">
        <f t="shared" si="5"/>
        <v>310</v>
      </c>
      <c r="K66" s="195"/>
      <c r="L66" s="27">
        <f t="shared" si="4"/>
        <v>416.98537031746031</v>
      </c>
    </row>
    <row r="67" spans="1:12" ht="15" customHeight="1" x14ac:dyDescent="0.45">
      <c r="A67" s="314"/>
      <c r="B67" s="5" t="s">
        <v>6</v>
      </c>
      <c r="C67" s="2">
        <v>201</v>
      </c>
      <c r="D67" s="1">
        <v>4052868</v>
      </c>
      <c r="E67" s="1">
        <v>4062979</v>
      </c>
      <c r="F67" s="41">
        <f t="shared" si="9"/>
        <v>10.111000000000001</v>
      </c>
      <c r="G67" s="22">
        <f t="shared" si="1"/>
        <v>41.611579761904764</v>
      </c>
      <c r="H67" s="45">
        <f t="shared" si="2"/>
        <v>26.260304841269843</v>
      </c>
      <c r="I67" s="42">
        <f t="shared" si="3"/>
        <v>67.871884603174607</v>
      </c>
      <c r="J67" s="30">
        <f t="shared" si="5"/>
        <v>310</v>
      </c>
      <c r="K67" s="195"/>
      <c r="L67" s="27">
        <f t="shared" si="4"/>
        <v>377.87188460317464</v>
      </c>
    </row>
    <row r="68" spans="1:12" ht="15" customHeight="1" x14ac:dyDescent="0.45">
      <c r="A68" s="314"/>
      <c r="B68" s="5" t="s">
        <v>6</v>
      </c>
      <c r="C68" s="2">
        <v>202</v>
      </c>
      <c r="D68" s="1">
        <v>4171418</v>
      </c>
      <c r="E68" s="1">
        <v>4201785</v>
      </c>
      <c r="F68" s="41">
        <f t="shared" si="9"/>
        <v>30.367000000000001</v>
      </c>
      <c r="G68" s="22">
        <f t="shared" ref="G68:G131" si="10">MMULT($G$1,1/$F$183)*F68</f>
        <v>124.97466547619048</v>
      </c>
      <c r="H68" s="45">
        <f t="shared" ref="H68:H131" si="11">MMULT($H$1,1/180)</f>
        <v>26.260304841269843</v>
      </c>
      <c r="I68" s="42">
        <f t="shared" ref="I68:I131" si="12">SUM(G68,H68)</f>
        <v>151.23497031746032</v>
      </c>
      <c r="J68" s="30">
        <f t="shared" si="5"/>
        <v>310</v>
      </c>
      <c r="K68" s="195"/>
      <c r="L68" s="27">
        <f t="shared" ref="L68:L131" si="13">SUM(I68,J68,K68)</f>
        <v>461.23497031746035</v>
      </c>
    </row>
    <row r="69" spans="1:12" ht="15" customHeight="1" x14ac:dyDescent="0.45">
      <c r="A69" s="314"/>
      <c r="B69" s="5" t="s">
        <v>6</v>
      </c>
      <c r="C69" s="2">
        <v>203</v>
      </c>
      <c r="D69" s="1">
        <v>2486574</v>
      </c>
      <c r="E69" s="1">
        <v>2489059</v>
      </c>
      <c r="F69" s="41">
        <f t="shared" si="9"/>
        <v>2.4849999999999999</v>
      </c>
      <c r="G69" s="22">
        <f t="shared" si="10"/>
        <v>10.226958333333332</v>
      </c>
      <c r="H69" s="45">
        <f t="shared" si="11"/>
        <v>26.260304841269843</v>
      </c>
      <c r="I69" s="42">
        <f t="shared" si="12"/>
        <v>36.487263174603171</v>
      </c>
      <c r="J69" s="30">
        <f t="shared" ref="J69:J132" si="14">SUM($J$3)</f>
        <v>310</v>
      </c>
      <c r="K69" s="195"/>
      <c r="L69" s="27">
        <f t="shared" si="13"/>
        <v>346.48726317460319</v>
      </c>
    </row>
    <row r="70" spans="1:12" ht="15" customHeight="1" x14ac:dyDescent="0.45">
      <c r="A70" s="314"/>
      <c r="B70" s="5" t="s">
        <v>6</v>
      </c>
      <c r="C70" s="2">
        <v>204</v>
      </c>
      <c r="D70" s="1">
        <v>2398099</v>
      </c>
      <c r="E70" s="1">
        <v>2411310</v>
      </c>
      <c r="F70" s="41">
        <f t="shared" si="9"/>
        <v>13.211</v>
      </c>
      <c r="G70" s="22">
        <f t="shared" si="10"/>
        <v>54.369555952380956</v>
      </c>
      <c r="H70" s="45">
        <f t="shared" si="11"/>
        <v>26.260304841269843</v>
      </c>
      <c r="I70" s="42">
        <f t="shared" si="12"/>
        <v>80.629860793650806</v>
      </c>
      <c r="J70" s="30">
        <f t="shared" si="14"/>
        <v>310</v>
      </c>
      <c r="K70" s="195"/>
      <c r="L70" s="27">
        <f t="shared" si="13"/>
        <v>390.62986079365078</v>
      </c>
    </row>
    <row r="71" spans="1:12" ht="15" customHeight="1" x14ac:dyDescent="0.45">
      <c r="A71" s="314"/>
      <c r="B71" s="5" t="s">
        <v>6</v>
      </c>
      <c r="C71" s="2">
        <v>301</v>
      </c>
      <c r="D71" s="1">
        <v>3869140</v>
      </c>
      <c r="E71" s="1">
        <v>3882768</v>
      </c>
      <c r="F71" s="41">
        <f t="shared" si="9"/>
        <v>13.628</v>
      </c>
      <c r="G71" s="22">
        <f t="shared" si="10"/>
        <v>56.085709523809527</v>
      </c>
      <c r="H71" s="45">
        <f t="shared" si="11"/>
        <v>26.260304841269843</v>
      </c>
      <c r="I71" s="42">
        <f t="shared" si="12"/>
        <v>82.34601436507937</v>
      </c>
      <c r="J71" s="30">
        <f t="shared" si="14"/>
        <v>310</v>
      </c>
      <c r="K71" s="195"/>
      <c r="L71" s="27">
        <f t="shared" si="13"/>
        <v>392.34601436507938</v>
      </c>
    </row>
    <row r="72" spans="1:12" ht="15" customHeight="1" x14ac:dyDescent="0.45">
      <c r="A72" s="314"/>
      <c r="B72" s="5" t="s">
        <v>6</v>
      </c>
      <c r="C72" s="2">
        <v>302</v>
      </c>
      <c r="D72" s="1">
        <v>3085471</v>
      </c>
      <c r="E72" s="1">
        <v>3101650</v>
      </c>
      <c r="F72" s="41">
        <f t="shared" si="9"/>
        <v>16.179000000000002</v>
      </c>
      <c r="G72" s="22">
        <f t="shared" si="10"/>
        <v>66.584289285714291</v>
      </c>
      <c r="H72" s="45">
        <f t="shared" si="11"/>
        <v>26.260304841269843</v>
      </c>
      <c r="I72" s="42">
        <f t="shared" si="12"/>
        <v>92.844594126984134</v>
      </c>
      <c r="J72" s="30">
        <f t="shared" si="14"/>
        <v>310</v>
      </c>
      <c r="K72" s="195"/>
      <c r="L72" s="27">
        <f t="shared" si="13"/>
        <v>402.84459412698413</v>
      </c>
    </row>
    <row r="73" spans="1:12" ht="15" customHeight="1" x14ac:dyDescent="0.45">
      <c r="A73" s="314"/>
      <c r="B73" s="5" t="s">
        <v>6</v>
      </c>
      <c r="C73" s="2">
        <v>303</v>
      </c>
      <c r="D73" s="1">
        <v>3465443</v>
      </c>
      <c r="E73" s="1">
        <v>3472739</v>
      </c>
      <c r="F73" s="41">
        <f t="shared" si="9"/>
        <v>7.2960000000000003</v>
      </c>
      <c r="G73" s="22">
        <f t="shared" si="10"/>
        <v>30.026514285714288</v>
      </c>
      <c r="H73" s="45">
        <f t="shared" si="11"/>
        <v>26.260304841269843</v>
      </c>
      <c r="I73" s="42">
        <f t="shared" si="12"/>
        <v>56.286819126984128</v>
      </c>
      <c r="J73" s="30">
        <f t="shared" si="14"/>
        <v>310</v>
      </c>
      <c r="K73" s="195"/>
      <c r="L73" s="27">
        <f t="shared" si="13"/>
        <v>366.28681912698414</v>
      </c>
    </row>
    <row r="74" spans="1:12" ht="15" customHeight="1" x14ac:dyDescent="0.45">
      <c r="A74" s="314"/>
      <c r="B74" s="5" t="s">
        <v>6</v>
      </c>
      <c r="C74" s="2">
        <v>304</v>
      </c>
      <c r="D74" s="1">
        <v>1456980</v>
      </c>
      <c r="E74" s="1">
        <v>1465405</v>
      </c>
      <c r="F74" s="41">
        <f t="shared" si="9"/>
        <v>8.4250000000000007</v>
      </c>
      <c r="G74" s="22">
        <f t="shared" si="10"/>
        <v>34.67288690476191</v>
      </c>
      <c r="H74" s="45">
        <f t="shared" si="11"/>
        <v>26.260304841269843</v>
      </c>
      <c r="I74" s="42">
        <f t="shared" si="12"/>
        <v>60.933191746031753</v>
      </c>
      <c r="J74" s="30">
        <f t="shared" si="14"/>
        <v>310</v>
      </c>
      <c r="K74" s="195"/>
      <c r="L74" s="27">
        <f t="shared" si="13"/>
        <v>370.93319174603175</v>
      </c>
    </row>
    <row r="75" spans="1:12" ht="15" customHeight="1" x14ac:dyDescent="0.45">
      <c r="A75" s="314"/>
      <c r="B75" s="5" t="s">
        <v>6</v>
      </c>
      <c r="C75" s="2">
        <v>401</v>
      </c>
      <c r="D75" s="1">
        <v>4719414</v>
      </c>
      <c r="E75" s="1">
        <v>4737930</v>
      </c>
      <c r="F75" s="41">
        <f t="shared" si="9"/>
        <v>18.516000000000002</v>
      </c>
      <c r="G75" s="22">
        <f t="shared" si="10"/>
        <v>76.202157142857146</v>
      </c>
      <c r="H75" s="45">
        <f t="shared" si="11"/>
        <v>26.260304841269843</v>
      </c>
      <c r="I75" s="42">
        <f t="shared" si="12"/>
        <v>102.46246198412699</v>
      </c>
      <c r="J75" s="30">
        <f t="shared" si="14"/>
        <v>310</v>
      </c>
      <c r="K75" s="195"/>
      <c r="L75" s="27">
        <f t="shared" si="13"/>
        <v>412.462461984127</v>
      </c>
    </row>
    <row r="76" spans="1:12" ht="15" customHeight="1" x14ac:dyDescent="0.45">
      <c r="A76" s="314"/>
      <c r="B76" s="5" t="s">
        <v>6</v>
      </c>
      <c r="C76" s="2">
        <v>402</v>
      </c>
      <c r="D76" s="1">
        <v>2868609</v>
      </c>
      <c r="E76" s="1">
        <v>2892131</v>
      </c>
      <c r="F76" s="41">
        <f t="shared" si="9"/>
        <v>23.522000000000002</v>
      </c>
      <c r="G76" s="22">
        <f t="shared" si="10"/>
        <v>96.804230952380962</v>
      </c>
      <c r="H76" s="45">
        <f t="shared" si="11"/>
        <v>26.260304841269843</v>
      </c>
      <c r="I76" s="42">
        <f t="shared" si="12"/>
        <v>123.0645357936508</v>
      </c>
      <c r="J76" s="30">
        <f t="shared" si="14"/>
        <v>310</v>
      </c>
      <c r="K76" s="195"/>
      <c r="L76" s="27">
        <f t="shared" si="13"/>
        <v>433.0645357936508</v>
      </c>
    </row>
    <row r="77" spans="1:12" ht="15" customHeight="1" x14ac:dyDescent="0.45">
      <c r="A77" s="314"/>
      <c r="B77" s="5" t="s">
        <v>6</v>
      </c>
      <c r="C77" s="2">
        <v>403</v>
      </c>
      <c r="D77" s="1">
        <v>2655967</v>
      </c>
      <c r="E77" s="1">
        <v>2676802</v>
      </c>
      <c r="F77" s="41">
        <f t="shared" si="9"/>
        <v>20.835000000000001</v>
      </c>
      <c r="G77" s="22">
        <f t="shared" si="10"/>
        <v>85.745946428571429</v>
      </c>
      <c r="H77" s="45">
        <f t="shared" si="11"/>
        <v>26.260304841269843</v>
      </c>
      <c r="I77" s="42">
        <f t="shared" si="12"/>
        <v>112.00625126984127</v>
      </c>
      <c r="J77" s="30">
        <f t="shared" si="14"/>
        <v>310</v>
      </c>
      <c r="K77" s="195"/>
      <c r="L77" s="27">
        <f t="shared" si="13"/>
        <v>422.0062512698413</v>
      </c>
    </row>
    <row r="78" spans="1:12" ht="15" customHeight="1" x14ac:dyDescent="0.45">
      <c r="A78" s="314"/>
      <c r="B78" s="5" t="s">
        <v>6</v>
      </c>
      <c r="C78" s="2">
        <v>404</v>
      </c>
      <c r="D78" s="1">
        <v>2737628</v>
      </c>
      <c r="E78" s="1">
        <v>2748651</v>
      </c>
      <c r="F78" s="41">
        <f t="shared" si="9"/>
        <v>11.023</v>
      </c>
      <c r="G78" s="22">
        <f t="shared" si="10"/>
        <v>45.364894047619046</v>
      </c>
      <c r="H78" s="45">
        <f t="shared" si="11"/>
        <v>26.260304841269843</v>
      </c>
      <c r="I78" s="42">
        <f t="shared" si="12"/>
        <v>71.625198888888889</v>
      </c>
      <c r="J78" s="30">
        <f t="shared" si="14"/>
        <v>310</v>
      </c>
      <c r="K78" s="195"/>
      <c r="L78" s="27">
        <f t="shared" si="13"/>
        <v>381.62519888888892</v>
      </c>
    </row>
    <row r="79" spans="1:12" ht="15" customHeight="1" x14ac:dyDescent="0.45">
      <c r="A79" s="314"/>
      <c r="B79" s="5" t="s">
        <v>6</v>
      </c>
      <c r="C79" s="2">
        <v>501</v>
      </c>
      <c r="D79" s="1">
        <v>4640021</v>
      </c>
      <c r="E79" s="1">
        <v>4674301</v>
      </c>
      <c r="F79" s="41">
        <f t="shared" si="9"/>
        <v>34.28</v>
      </c>
      <c r="G79" s="22">
        <f t="shared" si="10"/>
        <v>141.0785238095238</v>
      </c>
      <c r="H79" s="45">
        <f t="shared" si="11"/>
        <v>26.260304841269843</v>
      </c>
      <c r="I79" s="42">
        <f t="shared" si="12"/>
        <v>167.33882865079363</v>
      </c>
      <c r="J79" s="30">
        <f t="shared" si="14"/>
        <v>310</v>
      </c>
      <c r="K79" s="195"/>
      <c r="L79" s="27">
        <f t="shared" si="13"/>
        <v>477.33882865079363</v>
      </c>
    </row>
    <row r="80" spans="1:12" ht="15" customHeight="1" x14ac:dyDescent="0.45">
      <c r="A80" s="314"/>
      <c r="B80" s="5" t="s">
        <v>6</v>
      </c>
      <c r="C80" s="2">
        <v>502</v>
      </c>
      <c r="D80" s="1">
        <v>4885935</v>
      </c>
      <c r="E80" s="1">
        <v>4921495</v>
      </c>
      <c r="F80" s="41">
        <f t="shared" si="9"/>
        <v>35.56</v>
      </c>
      <c r="G80" s="22">
        <f t="shared" si="10"/>
        <v>146.34633333333335</v>
      </c>
      <c r="H80" s="45">
        <f t="shared" si="11"/>
        <v>26.260304841269843</v>
      </c>
      <c r="I80" s="42">
        <f t="shared" si="12"/>
        <v>172.60663817460318</v>
      </c>
      <c r="J80" s="30">
        <f t="shared" si="14"/>
        <v>310</v>
      </c>
      <c r="K80" s="195">
        <v>100</v>
      </c>
      <c r="L80" s="27">
        <f t="shared" si="13"/>
        <v>582.60663817460318</v>
      </c>
    </row>
    <row r="81" spans="1:12" ht="15" customHeight="1" x14ac:dyDescent="0.45">
      <c r="A81" s="314"/>
      <c r="B81" s="5" t="s">
        <v>6</v>
      </c>
      <c r="C81" s="2">
        <v>503</v>
      </c>
      <c r="D81" s="1">
        <v>3123077</v>
      </c>
      <c r="E81" s="1">
        <v>3138093</v>
      </c>
      <c r="F81" s="41">
        <f t="shared" si="9"/>
        <v>15.016</v>
      </c>
      <c r="G81" s="22">
        <f t="shared" si="10"/>
        <v>61.797990476190478</v>
      </c>
      <c r="H81" s="45">
        <f t="shared" si="11"/>
        <v>26.260304841269843</v>
      </c>
      <c r="I81" s="42">
        <f t="shared" si="12"/>
        <v>88.05829531746032</v>
      </c>
      <c r="J81" s="30">
        <f t="shared" si="14"/>
        <v>310</v>
      </c>
      <c r="K81" s="195"/>
      <c r="L81" s="27">
        <f t="shared" si="13"/>
        <v>398.05829531746031</v>
      </c>
    </row>
    <row r="82" spans="1:12" ht="15.75" customHeight="1" x14ac:dyDescent="0.45">
      <c r="A82" s="314"/>
      <c r="B82" s="5" t="s">
        <v>6</v>
      </c>
      <c r="C82" s="2">
        <v>504</v>
      </c>
      <c r="D82" s="1">
        <v>3443477</v>
      </c>
      <c r="E82" s="1">
        <v>3472215</v>
      </c>
      <c r="F82" s="41">
        <f t="shared" si="9"/>
        <v>28.738</v>
      </c>
      <c r="G82" s="22">
        <f t="shared" si="10"/>
        <v>118.27055476190476</v>
      </c>
      <c r="H82" s="45">
        <f t="shared" si="11"/>
        <v>26.260304841269843</v>
      </c>
      <c r="I82" s="42">
        <f t="shared" si="12"/>
        <v>144.5308596031746</v>
      </c>
      <c r="J82" s="30">
        <f t="shared" si="14"/>
        <v>310</v>
      </c>
      <c r="K82" s="195"/>
      <c r="L82" s="27">
        <f t="shared" si="13"/>
        <v>454.53085960317458</v>
      </c>
    </row>
    <row r="83" spans="1:12" ht="15" customHeight="1" x14ac:dyDescent="0.45">
      <c r="A83" s="318"/>
      <c r="B83" s="5" t="s">
        <v>7</v>
      </c>
      <c r="C83" s="2">
        <v>101</v>
      </c>
      <c r="D83" s="1">
        <v>4726806</v>
      </c>
      <c r="E83" s="1">
        <v>4758591</v>
      </c>
      <c r="F83" s="41">
        <f t="shared" si="9"/>
        <v>31.785</v>
      </c>
      <c r="G83" s="22">
        <f t="shared" si="10"/>
        <v>130.81041071428572</v>
      </c>
      <c r="H83" s="45">
        <f t="shared" si="11"/>
        <v>26.260304841269843</v>
      </c>
      <c r="I83" s="42">
        <f t="shared" si="12"/>
        <v>157.07071555555558</v>
      </c>
      <c r="J83" s="30">
        <f t="shared" si="14"/>
        <v>310</v>
      </c>
      <c r="K83" s="195"/>
      <c r="L83" s="27">
        <f t="shared" si="13"/>
        <v>467.07071555555558</v>
      </c>
    </row>
    <row r="84" spans="1:12" ht="15" customHeight="1" x14ac:dyDescent="0.45">
      <c r="A84" s="318"/>
      <c r="B84" s="5" t="s">
        <v>7</v>
      </c>
      <c r="C84" s="2">
        <v>102</v>
      </c>
      <c r="D84" s="1">
        <v>1810225</v>
      </c>
      <c r="E84" s="1">
        <v>1830065</v>
      </c>
      <c r="F84" s="41">
        <f t="shared" si="9"/>
        <v>19.84</v>
      </c>
      <c r="G84" s="22">
        <f t="shared" si="10"/>
        <v>81.651047619047617</v>
      </c>
      <c r="H84" s="45">
        <f t="shared" si="11"/>
        <v>26.260304841269843</v>
      </c>
      <c r="I84" s="42">
        <f t="shared" si="12"/>
        <v>107.91135246031746</v>
      </c>
      <c r="J84" s="30">
        <f t="shared" si="14"/>
        <v>310</v>
      </c>
      <c r="K84" s="195"/>
      <c r="L84" s="27">
        <f t="shared" si="13"/>
        <v>417.91135246031746</v>
      </c>
    </row>
    <row r="85" spans="1:12" ht="15" customHeight="1" x14ac:dyDescent="0.45">
      <c r="A85" s="318"/>
      <c r="B85" s="5" t="s">
        <v>7</v>
      </c>
      <c r="C85" s="2">
        <v>103</v>
      </c>
      <c r="D85" s="1">
        <v>3004025</v>
      </c>
      <c r="E85" s="1">
        <v>3007392</v>
      </c>
      <c r="F85" s="41">
        <f t="shared" si="9"/>
        <v>3.367</v>
      </c>
      <c r="G85" s="22">
        <f t="shared" si="10"/>
        <v>13.856808333333333</v>
      </c>
      <c r="H85" s="45">
        <f t="shared" si="11"/>
        <v>26.260304841269843</v>
      </c>
      <c r="I85" s="42">
        <f t="shared" si="12"/>
        <v>40.117113174603176</v>
      </c>
      <c r="J85" s="30">
        <f t="shared" si="14"/>
        <v>310</v>
      </c>
      <c r="K85" s="195"/>
      <c r="L85" s="27">
        <f t="shared" si="13"/>
        <v>350.11711317460316</v>
      </c>
    </row>
    <row r="86" spans="1:12" ht="15" customHeight="1" x14ac:dyDescent="0.45">
      <c r="A86" s="318"/>
      <c r="B86" s="5" t="s">
        <v>7</v>
      </c>
      <c r="C86" s="2">
        <v>104</v>
      </c>
      <c r="D86" s="1">
        <v>2592245</v>
      </c>
      <c r="E86" s="1">
        <v>2607600</v>
      </c>
      <c r="F86" s="41">
        <f t="shared" si="9"/>
        <v>15.355</v>
      </c>
      <c r="G86" s="22">
        <f t="shared" si="10"/>
        <v>63.193136904761907</v>
      </c>
      <c r="H86" s="45">
        <f t="shared" si="11"/>
        <v>26.260304841269843</v>
      </c>
      <c r="I86" s="42">
        <f t="shared" si="12"/>
        <v>89.453441746031757</v>
      </c>
      <c r="J86" s="30">
        <f t="shared" si="14"/>
        <v>310</v>
      </c>
      <c r="K86" s="195"/>
      <c r="L86" s="27">
        <f t="shared" si="13"/>
        <v>399.45344174603179</v>
      </c>
    </row>
    <row r="87" spans="1:12" ht="15" customHeight="1" x14ac:dyDescent="0.45">
      <c r="A87" s="318"/>
      <c r="B87" s="5" t="s">
        <v>7</v>
      </c>
      <c r="C87" s="2">
        <v>201</v>
      </c>
      <c r="D87" s="1">
        <v>5135223</v>
      </c>
      <c r="E87" s="1">
        <v>5162274</v>
      </c>
      <c r="F87" s="41">
        <f t="shared" si="9"/>
        <v>27.051000000000002</v>
      </c>
      <c r="G87" s="22">
        <f t="shared" si="10"/>
        <v>111.32774642857144</v>
      </c>
      <c r="H87" s="45">
        <f t="shared" si="11"/>
        <v>26.260304841269843</v>
      </c>
      <c r="I87" s="42">
        <f t="shared" si="12"/>
        <v>137.58805126984129</v>
      </c>
      <c r="J87" s="30">
        <f t="shared" si="14"/>
        <v>310</v>
      </c>
      <c r="K87" s="195"/>
      <c r="L87" s="27">
        <f t="shared" si="13"/>
        <v>447.58805126984129</v>
      </c>
    </row>
    <row r="88" spans="1:12" ht="15" customHeight="1" x14ac:dyDescent="0.45">
      <c r="A88" s="318"/>
      <c r="B88" s="5" t="s">
        <v>7</v>
      </c>
      <c r="C88" s="2">
        <v>202</v>
      </c>
      <c r="D88" s="1">
        <v>27444</v>
      </c>
      <c r="E88" s="1">
        <v>27444</v>
      </c>
      <c r="F88" s="41">
        <f>(E88-D88)*0.01</f>
        <v>0</v>
      </c>
      <c r="G88" s="22">
        <f t="shared" si="10"/>
        <v>0</v>
      </c>
      <c r="H88" s="45">
        <f t="shared" si="11"/>
        <v>26.260304841269843</v>
      </c>
      <c r="I88" s="42">
        <f t="shared" si="12"/>
        <v>26.260304841269843</v>
      </c>
      <c r="J88" s="30">
        <f t="shared" si="14"/>
        <v>310</v>
      </c>
      <c r="K88" s="195"/>
      <c r="L88" s="27">
        <f t="shared" si="13"/>
        <v>336.26030484126983</v>
      </c>
    </row>
    <row r="89" spans="1:12" ht="15" customHeight="1" x14ac:dyDescent="0.45">
      <c r="A89" s="318"/>
      <c r="B89" s="5" t="s">
        <v>7</v>
      </c>
      <c r="C89" s="2">
        <v>203</v>
      </c>
      <c r="D89" s="1">
        <v>4445102</v>
      </c>
      <c r="E89" s="1">
        <v>4477338</v>
      </c>
      <c r="F89" s="41">
        <f>(E89-D89)*$N$1</f>
        <v>32.236000000000004</v>
      </c>
      <c r="G89" s="22">
        <f t="shared" si="10"/>
        <v>132.66649047619049</v>
      </c>
      <c r="H89" s="45">
        <f t="shared" si="11"/>
        <v>26.260304841269843</v>
      </c>
      <c r="I89" s="42">
        <f t="shared" si="12"/>
        <v>158.92679531746035</v>
      </c>
      <c r="J89" s="30">
        <f t="shared" si="14"/>
        <v>310</v>
      </c>
      <c r="K89" s="195"/>
      <c r="L89" s="27">
        <f t="shared" si="13"/>
        <v>468.92679531746035</v>
      </c>
    </row>
    <row r="90" spans="1:12" ht="15" customHeight="1" x14ac:dyDescent="0.45">
      <c r="A90" s="318"/>
      <c r="B90" s="5" t="s">
        <v>7</v>
      </c>
      <c r="C90" s="2">
        <v>204</v>
      </c>
      <c r="D90" s="1">
        <v>133067</v>
      </c>
      <c r="E90" s="1">
        <v>133080</v>
      </c>
      <c r="F90" s="41">
        <f>(E90-D90)*0.01</f>
        <v>0.13</v>
      </c>
      <c r="G90" s="22">
        <f t="shared" si="10"/>
        <v>0.53501190476190474</v>
      </c>
      <c r="H90" s="45">
        <f t="shared" si="11"/>
        <v>26.260304841269843</v>
      </c>
      <c r="I90" s="42">
        <f t="shared" si="12"/>
        <v>26.795316746031748</v>
      </c>
      <c r="J90" s="30">
        <f t="shared" si="14"/>
        <v>310</v>
      </c>
      <c r="K90" s="195"/>
      <c r="L90" s="27">
        <f t="shared" si="13"/>
        <v>336.79531674603174</v>
      </c>
    </row>
    <row r="91" spans="1:12" ht="15" customHeight="1" x14ac:dyDescent="0.45">
      <c r="A91" s="318"/>
      <c r="B91" s="5" t="s">
        <v>7</v>
      </c>
      <c r="C91" s="2">
        <v>301</v>
      </c>
      <c r="D91" s="1">
        <v>4987124</v>
      </c>
      <c r="E91" s="1">
        <v>5009267</v>
      </c>
      <c r="F91" s="41">
        <f t="shared" ref="F91:F103" si="15">(E91-D91)*$N$1</f>
        <v>22.143000000000001</v>
      </c>
      <c r="G91" s="22">
        <f t="shared" si="10"/>
        <v>91.128989285714283</v>
      </c>
      <c r="H91" s="45">
        <f t="shared" si="11"/>
        <v>26.260304841269843</v>
      </c>
      <c r="I91" s="42">
        <f t="shared" si="12"/>
        <v>117.38929412698413</v>
      </c>
      <c r="J91" s="30">
        <f t="shared" si="14"/>
        <v>310</v>
      </c>
      <c r="K91" s="195"/>
      <c r="L91" s="27">
        <f t="shared" si="13"/>
        <v>427.38929412698411</v>
      </c>
    </row>
    <row r="92" spans="1:12" ht="15" customHeight="1" x14ac:dyDescent="0.45">
      <c r="A92" s="318"/>
      <c r="B92" s="5" t="s">
        <v>7</v>
      </c>
      <c r="C92" s="2">
        <v>302</v>
      </c>
      <c r="D92" s="1">
        <v>3424974</v>
      </c>
      <c r="E92" s="1">
        <v>3458529</v>
      </c>
      <c r="F92" s="41">
        <f t="shared" si="15"/>
        <v>33.555</v>
      </c>
      <c r="G92" s="22">
        <f t="shared" si="10"/>
        <v>138.09480357142857</v>
      </c>
      <c r="H92" s="45">
        <f t="shared" si="11"/>
        <v>26.260304841269843</v>
      </c>
      <c r="I92" s="42">
        <f t="shared" si="12"/>
        <v>164.35510841269843</v>
      </c>
      <c r="J92" s="30">
        <f t="shared" si="14"/>
        <v>310</v>
      </c>
      <c r="K92" s="195"/>
      <c r="L92" s="27">
        <f t="shared" si="13"/>
        <v>474.35510841269843</v>
      </c>
    </row>
    <row r="93" spans="1:12" ht="15" customHeight="1" x14ac:dyDescent="0.45">
      <c r="A93" s="318"/>
      <c r="B93" s="5" t="s">
        <v>7</v>
      </c>
      <c r="C93" s="2">
        <v>303</v>
      </c>
      <c r="D93" s="1">
        <v>4720999</v>
      </c>
      <c r="E93" s="1">
        <v>4780373</v>
      </c>
      <c r="F93" s="41">
        <f t="shared" si="15"/>
        <v>59.374000000000002</v>
      </c>
      <c r="G93" s="22">
        <f t="shared" si="10"/>
        <v>244.35228333333333</v>
      </c>
      <c r="H93" s="45">
        <f t="shared" si="11"/>
        <v>26.260304841269843</v>
      </c>
      <c r="I93" s="42">
        <f t="shared" si="12"/>
        <v>270.61258817460316</v>
      </c>
      <c r="J93" s="30">
        <f t="shared" si="14"/>
        <v>310</v>
      </c>
      <c r="K93" s="195"/>
      <c r="L93" s="27">
        <f t="shared" si="13"/>
        <v>580.61258817460316</v>
      </c>
    </row>
    <row r="94" spans="1:12" ht="15" customHeight="1" x14ac:dyDescent="0.45">
      <c r="A94" s="318"/>
      <c r="B94" s="5" t="s">
        <v>7</v>
      </c>
      <c r="C94" s="2">
        <v>304</v>
      </c>
      <c r="D94" s="1">
        <v>2452376</v>
      </c>
      <c r="E94" s="1">
        <v>2457052</v>
      </c>
      <c r="F94" s="41">
        <f t="shared" si="15"/>
        <v>4.6760000000000002</v>
      </c>
      <c r="G94" s="22">
        <f t="shared" si="10"/>
        <v>19.243966666666669</v>
      </c>
      <c r="H94" s="45">
        <f t="shared" si="11"/>
        <v>26.260304841269843</v>
      </c>
      <c r="I94" s="42">
        <f t="shared" si="12"/>
        <v>45.504271507936508</v>
      </c>
      <c r="J94" s="30">
        <f t="shared" si="14"/>
        <v>310</v>
      </c>
      <c r="K94" s="195"/>
      <c r="L94" s="27">
        <f t="shared" si="13"/>
        <v>355.50427150793649</v>
      </c>
    </row>
    <row r="95" spans="1:12" ht="15" customHeight="1" x14ac:dyDescent="0.45">
      <c r="A95" s="318"/>
      <c r="B95" s="5" t="s">
        <v>7</v>
      </c>
      <c r="C95" s="2">
        <v>401</v>
      </c>
      <c r="D95" s="1">
        <v>3782004</v>
      </c>
      <c r="E95" s="1">
        <v>3797839</v>
      </c>
      <c r="F95" s="41">
        <f t="shared" si="15"/>
        <v>15.835000000000001</v>
      </c>
      <c r="G95" s="22">
        <f t="shared" si="10"/>
        <v>65.16856547619048</v>
      </c>
      <c r="H95" s="45">
        <f t="shared" si="11"/>
        <v>26.260304841269843</v>
      </c>
      <c r="I95" s="42">
        <f t="shared" si="12"/>
        <v>91.428870317460323</v>
      </c>
      <c r="J95" s="30">
        <f t="shared" si="14"/>
        <v>310</v>
      </c>
      <c r="K95" s="195"/>
      <c r="L95" s="27">
        <f t="shared" si="13"/>
        <v>401.42887031746034</v>
      </c>
    </row>
    <row r="96" spans="1:12" ht="15" customHeight="1" x14ac:dyDescent="0.45">
      <c r="A96" s="318"/>
      <c r="B96" s="5" t="s">
        <v>7</v>
      </c>
      <c r="C96" s="2">
        <v>402</v>
      </c>
      <c r="D96" s="1">
        <v>3263712</v>
      </c>
      <c r="E96" s="1">
        <v>3278335</v>
      </c>
      <c r="F96" s="41">
        <f t="shared" si="15"/>
        <v>14.623000000000001</v>
      </c>
      <c r="G96" s="22">
        <f t="shared" si="10"/>
        <v>60.180608333333339</v>
      </c>
      <c r="H96" s="45">
        <f t="shared" si="11"/>
        <v>26.260304841269843</v>
      </c>
      <c r="I96" s="42">
        <f t="shared" si="12"/>
        <v>86.440913174603182</v>
      </c>
      <c r="J96" s="30">
        <f t="shared" si="14"/>
        <v>310</v>
      </c>
      <c r="K96" s="195"/>
      <c r="L96" s="27">
        <f t="shared" si="13"/>
        <v>396.44091317460317</v>
      </c>
    </row>
    <row r="97" spans="1:12" ht="15" customHeight="1" x14ac:dyDescent="0.45">
      <c r="A97" s="318"/>
      <c r="B97" s="5" t="s">
        <v>7</v>
      </c>
      <c r="C97" s="2">
        <v>403</v>
      </c>
      <c r="D97" s="1">
        <v>2991885</v>
      </c>
      <c r="E97" s="1">
        <v>3002938</v>
      </c>
      <c r="F97" s="41">
        <f t="shared" si="15"/>
        <v>11.053000000000001</v>
      </c>
      <c r="G97" s="22">
        <f t="shared" si="10"/>
        <v>45.488358333333338</v>
      </c>
      <c r="H97" s="45">
        <f t="shared" si="11"/>
        <v>26.260304841269843</v>
      </c>
      <c r="I97" s="42">
        <f t="shared" si="12"/>
        <v>71.74866317460318</v>
      </c>
      <c r="J97" s="30">
        <f t="shared" si="14"/>
        <v>310</v>
      </c>
      <c r="K97" s="195"/>
      <c r="L97" s="27">
        <f t="shared" si="13"/>
        <v>381.74866317460317</v>
      </c>
    </row>
    <row r="98" spans="1:12" ht="15" customHeight="1" x14ac:dyDescent="0.45">
      <c r="A98" s="318"/>
      <c r="B98" s="5" t="s">
        <v>7</v>
      </c>
      <c r="C98" s="2">
        <v>404</v>
      </c>
      <c r="D98" s="1">
        <v>3155163</v>
      </c>
      <c r="E98" s="1">
        <v>3173287</v>
      </c>
      <c r="F98" s="41">
        <f t="shared" si="15"/>
        <v>18.123999999999999</v>
      </c>
      <c r="G98" s="22">
        <f t="shared" si="10"/>
        <v>74.588890476190471</v>
      </c>
      <c r="H98" s="45">
        <f t="shared" si="11"/>
        <v>26.260304841269843</v>
      </c>
      <c r="I98" s="42">
        <f t="shared" si="12"/>
        <v>100.84919531746031</v>
      </c>
      <c r="J98" s="30">
        <f t="shared" si="14"/>
        <v>310</v>
      </c>
      <c r="K98" s="195"/>
      <c r="L98" s="27">
        <f t="shared" si="13"/>
        <v>410.84919531746033</v>
      </c>
    </row>
    <row r="99" spans="1:12" ht="15" customHeight="1" x14ac:dyDescent="0.45">
      <c r="A99" s="318"/>
      <c r="B99" s="5" t="s">
        <v>7</v>
      </c>
      <c r="C99" s="2">
        <v>501</v>
      </c>
      <c r="D99" s="1">
        <v>2741080</v>
      </c>
      <c r="E99" s="1">
        <v>2753729</v>
      </c>
      <c r="F99" s="41">
        <f t="shared" si="15"/>
        <v>12.649000000000001</v>
      </c>
      <c r="G99" s="22">
        <f t="shared" si="10"/>
        <v>52.056658333333338</v>
      </c>
      <c r="H99" s="45">
        <f t="shared" si="11"/>
        <v>26.260304841269843</v>
      </c>
      <c r="I99" s="42">
        <f t="shared" si="12"/>
        <v>78.316963174603188</v>
      </c>
      <c r="J99" s="30">
        <f t="shared" si="14"/>
        <v>310</v>
      </c>
      <c r="K99" s="195"/>
      <c r="L99" s="27">
        <f t="shared" si="13"/>
        <v>388.31696317460319</v>
      </c>
    </row>
    <row r="100" spans="1:12" ht="15" customHeight="1" x14ac:dyDescent="0.45">
      <c r="A100" s="318"/>
      <c r="B100" s="5" t="s">
        <v>7</v>
      </c>
      <c r="C100" s="2">
        <v>502</v>
      </c>
      <c r="D100" s="1">
        <v>2507759</v>
      </c>
      <c r="E100" s="1">
        <v>2525858</v>
      </c>
      <c r="F100" s="41">
        <f t="shared" si="15"/>
        <v>18.099</v>
      </c>
      <c r="G100" s="22">
        <f t="shared" si="10"/>
        <v>74.486003571428569</v>
      </c>
      <c r="H100" s="45">
        <f t="shared" si="11"/>
        <v>26.260304841269843</v>
      </c>
      <c r="I100" s="42">
        <f t="shared" si="12"/>
        <v>100.74630841269841</v>
      </c>
      <c r="J100" s="30">
        <f t="shared" si="14"/>
        <v>310</v>
      </c>
      <c r="K100" s="195"/>
      <c r="L100" s="27">
        <f t="shared" si="13"/>
        <v>410.7463084126984</v>
      </c>
    </row>
    <row r="101" spans="1:12" ht="15" customHeight="1" x14ac:dyDescent="0.45">
      <c r="A101" s="318"/>
      <c r="B101" s="5" t="s">
        <v>7</v>
      </c>
      <c r="C101" s="2">
        <v>503</v>
      </c>
      <c r="D101" s="1">
        <v>3103149</v>
      </c>
      <c r="E101" s="1">
        <v>3122297</v>
      </c>
      <c r="F101" s="41">
        <f t="shared" si="15"/>
        <v>19.148</v>
      </c>
      <c r="G101" s="22">
        <f t="shared" si="10"/>
        <v>78.803138095238097</v>
      </c>
      <c r="H101" s="45">
        <f t="shared" si="11"/>
        <v>26.260304841269843</v>
      </c>
      <c r="I101" s="42">
        <f t="shared" si="12"/>
        <v>105.06344293650794</v>
      </c>
      <c r="J101" s="30">
        <f t="shared" si="14"/>
        <v>310</v>
      </c>
      <c r="K101" s="195"/>
      <c r="L101" s="27">
        <f t="shared" si="13"/>
        <v>415.06344293650795</v>
      </c>
    </row>
    <row r="102" spans="1:12" ht="15.75" customHeight="1" x14ac:dyDescent="0.45">
      <c r="A102" s="318"/>
      <c r="B102" s="5" t="s">
        <v>7</v>
      </c>
      <c r="C102" s="2">
        <v>504</v>
      </c>
      <c r="D102" s="1">
        <v>4082389</v>
      </c>
      <c r="E102" s="1">
        <v>4104942</v>
      </c>
      <c r="F102" s="41">
        <f t="shared" si="15"/>
        <v>22.553000000000001</v>
      </c>
      <c r="G102" s="22">
        <f t="shared" si="10"/>
        <v>92.81633452380953</v>
      </c>
      <c r="H102" s="45">
        <f t="shared" si="11"/>
        <v>26.260304841269843</v>
      </c>
      <c r="I102" s="42">
        <f t="shared" si="12"/>
        <v>119.07663936507937</v>
      </c>
      <c r="J102" s="30">
        <f t="shared" si="14"/>
        <v>310</v>
      </c>
      <c r="K102" s="195"/>
      <c r="L102" s="27">
        <f t="shared" si="13"/>
        <v>429.07663936507936</v>
      </c>
    </row>
    <row r="103" spans="1:12" ht="15" customHeight="1" x14ac:dyDescent="0.45">
      <c r="A103" s="314"/>
      <c r="B103" s="5" t="s">
        <v>8</v>
      </c>
      <c r="C103" s="2">
        <v>101</v>
      </c>
      <c r="D103" s="1">
        <v>3730464</v>
      </c>
      <c r="E103" s="1">
        <v>3759470</v>
      </c>
      <c r="F103" s="41">
        <f t="shared" si="15"/>
        <v>29.006</v>
      </c>
      <c r="G103" s="22">
        <f t="shared" si="10"/>
        <v>119.37350238095239</v>
      </c>
      <c r="H103" s="45">
        <f t="shared" si="11"/>
        <v>26.260304841269843</v>
      </c>
      <c r="I103" s="42">
        <f t="shared" si="12"/>
        <v>145.63380722222223</v>
      </c>
      <c r="J103" s="30">
        <f t="shared" si="14"/>
        <v>310</v>
      </c>
      <c r="K103" s="195"/>
      <c r="L103" s="27">
        <f t="shared" si="13"/>
        <v>455.63380722222223</v>
      </c>
    </row>
    <row r="104" spans="1:12" ht="15" customHeight="1" x14ac:dyDescent="0.45">
      <c r="A104" s="314"/>
      <c r="B104" s="5" t="s">
        <v>8</v>
      </c>
      <c r="C104" s="2">
        <v>102</v>
      </c>
      <c r="D104" s="1">
        <v>149327</v>
      </c>
      <c r="E104" s="1">
        <v>152093</v>
      </c>
      <c r="F104" s="41">
        <f>(E104-D104)*0.01</f>
        <v>27.66</v>
      </c>
      <c r="G104" s="22">
        <f t="shared" si="10"/>
        <v>113.83407142857143</v>
      </c>
      <c r="H104" s="45">
        <f t="shared" si="11"/>
        <v>26.260304841269843</v>
      </c>
      <c r="I104" s="42">
        <f t="shared" si="12"/>
        <v>140.09437626984129</v>
      </c>
      <c r="J104" s="30">
        <f t="shared" si="14"/>
        <v>310</v>
      </c>
      <c r="K104" s="195"/>
      <c r="L104" s="27">
        <f t="shared" si="13"/>
        <v>450.09437626984129</v>
      </c>
    </row>
    <row r="105" spans="1:12" ht="15" customHeight="1" x14ac:dyDescent="0.45">
      <c r="A105" s="314"/>
      <c r="B105" s="5" t="s">
        <v>8</v>
      </c>
      <c r="C105" s="2">
        <v>103</v>
      </c>
      <c r="D105" s="1">
        <v>38569</v>
      </c>
      <c r="E105" s="1">
        <v>56200</v>
      </c>
      <c r="F105" s="41">
        <f t="shared" ref="F105:F123" si="16">(E105-D105)*$N$1</f>
        <v>17.631</v>
      </c>
      <c r="G105" s="22">
        <f t="shared" si="10"/>
        <v>72.559960714285722</v>
      </c>
      <c r="H105" s="45">
        <f t="shared" si="11"/>
        <v>26.260304841269843</v>
      </c>
      <c r="I105" s="42">
        <f t="shared" si="12"/>
        <v>98.820265555555565</v>
      </c>
      <c r="J105" s="30">
        <f t="shared" si="14"/>
        <v>310</v>
      </c>
      <c r="K105" s="195"/>
      <c r="L105" s="27">
        <f t="shared" si="13"/>
        <v>408.82026555555558</v>
      </c>
    </row>
    <row r="106" spans="1:12" ht="15" customHeight="1" x14ac:dyDescent="0.45">
      <c r="A106" s="314"/>
      <c r="B106" s="5" t="s">
        <v>8</v>
      </c>
      <c r="C106" s="2">
        <v>104</v>
      </c>
      <c r="D106" s="1">
        <v>442298</v>
      </c>
      <c r="E106" s="1">
        <v>443021</v>
      </c>
      <c r="F106" s="41">
        <f t="shared" si="16"/>
        <v>0.72299999999999998</v>
      </c>
      <c r="G106" s="22">
        <f t="shared" si="10"/>
        <v>2.9754892857142856</v>
      </c>
      <c r="H106" s="45">
        <f t="shared" si="11"/>
        <v>26.260304841269843</v>
      </c>
      <c r="I106" s="42">
        <f t="shared" si="12"/>
        <v>29.235794126984128</v>
      </c>
      <c r="J106" s="30">
        <f t="shared" si="14"/>
        <v>310</v>
      </c>
      <c r="K106" s="195"/>
      <c r="L106" s="27">
        <f t="shared" si="13"/>
        <v>339.2357941269841</v>
      </c>
    </row>
    <row r="107" spans="1:12" ht="15" customHeight="1" x14ac:dyDescent="0.45">
      <c r="A107" s="314"/>
      <c r="B107" s="5" t="s">
        <v>8</v>
      </c>
      <c r="C107" s="2">
        <v>201</v>
      </c>
      <c r="D107" s="1">
        <v>2000</v>
      </c>
      <c r="E107" s="1">
        <v>11999</v>
      </c>
      <c r="F107" s="41">
        <f t="shared" si="16"/>
        <v>9.9990000000000006</v>
      </c>
      <c r="G107" s="22">
        <f t="shared" si="10"/>
        <v>41.150646428571434</v>
      </c>
      <c r="H107" s="45">
        <f t="shared" si="11"/>
        <v>26.260304841269843</v>
      </c>
      <c r="I107" s="42">
        <f t="shared" si="12"/>
        <v>67.410951269841277</v>
      </c>
      <c r="J107" s="30">
        <f t="shared" si="14"/>
        <v>310</v>
      </c>
      <c r="K107" s="195"/>
      <c r="L107" s="27">
        <f t="shared" si="13"/>
        <v>377.41095126984129</v>
      </c>
    </row>
    <row r="108" spans="1:12" ht="15" customHeight="1" x14ac:dyDescent="0.45">
      <c r="A108" s="314"/>
      <c r="B108" s="5" t="s">
        <v>8</v>
      </c>
      <c r="C108" s="2">
        <v>202</v>
      </c>
      <c r="D108" s="1">
        <v>89741</v>
      </c>
      <c r="E108" s="1">
        <v>110289</v>
      </c>
      <c r="F108" s="41">
        <f t="shared" si="16"/>
        <v>20.548000000000002</v>
      </c>
      <c r="G108" s="22">
        <f t="shared" si="10"/>
        <v>84.564804761904767</v>
      </c>
      <c r="H108" s="45">
        <f t="shared" si="11"/>
        <v>26.260304841269843</v>
      </c>
      <c r="I108" s="42">
        <f t="shared" si="12"/>
        <v>110.82510960317461</v>
      </c>
      <c r="J108" s="30">
        <f t="shared" si="14"/>
        <v>310</v>
      </c>
      <c r="K108" s="195"/>
      <c r="L108" s="27">
        <f t="shared" si="13"/>
        <v>420.82510960317461</v>
      </c>
    </row>
    <row r="109" spans="1:12" ht="15" customHeight="1" x14ac:dyDescent="0.45">
      <c r="A109" s="314"/>
      <c r="B109" s="5" t="s">
        <v>8</v>
      </c>
      <c r="C109" s="2">
        <v>203</v>
      </c>
      <c r="D109" s="1">
        <v>3564199</v>
      </c>
      <c r="E109" s="1">
        <v>3573583</v>
      </c>
      <c r="F109" s="41">
        <f t="shared" si="16"/>
        <v>9.3840000000000003</v>
      </c>
      <c r="G109" s="22">
        <f t="shared" si="10"/>
        <v>38.619628571428571</v>
      </c>
      <c r="H109" s="45">
        <f t="shared" si="11"/>
        <v>26.260304841269843</v>
      </c>
      <c r="I109" s="42">
        <f t="shared" si="12"/>
        <v>64.879933412698421</v>
      </c>
      <c r="J109" s="30">
        <f t="shared" si="14"/>
        <v>310</v>
      </c>
      <c r="K109" s="195"/>
      <c r="L109" s="27">
        <f t="shared" si="13"/>
        <v>374.87993341269839</v>
      </c>
    </row>
    <row r="110" spans="1:12" ht="15" customHeight="1" x14ac:dyDescent="0.45">
      <c r="A110" s="314"/>
      <c r="B110" s="5" t="s">
        <v>8</v>
      </c>
      <c r="C110" s="2">
        <v>204</v>
      </c>
      <c r="D110" s="1">
        <v>1903735</v>
      </c>
      <c r="E110" s="1">
        <v>1918298</v>
      </c>
      <c r="F110" s="41">
        <f t="shared" si="16"/>
        <v>14.563000000000001</v>
      </c>
      <c r="G110" s="22">
        <f t="shared" si="10"/>
        <v>59.933679761904763</v>
      </c>
      <c r="H110" s="45">
        <f t="shared" si="11"/>
        <v>26.260304841269843</v>
      </c>
      <c r="I110" s="42">
        <f t="shared" si="12"/>
        <v>86.193984603174613</v>
      </c>
      <c r="J110" s="30">
        <f t="shared" si="14"/>
        <v>310</v>
      </c>
      <c r="K110" s="195"/>
      <c r="L110" s="27">
        <f t="shared" si="13"/>
        <v>396.19398460317461</v>
      </c>
    </row>
    <row r="111" spans="1:12" ht="15" customHeight="1" x14ac:dyDescent="0.45">
      <c r="A111" s="314"/>
      <c r="B111" s="5" t="s">
        <v>8</v>
      </c>
      <c r="C111" s="2">
        <v>301</v>
      </c>
      <c r="D111" s="1">
        <v>3622377</v>
      </c>
      <c r="E111" s="1">
        <v>3635802</v>
      </c>
      <c r="F111" s="41">
        <f t="shared" si="16"/>
        <v>13.425000000000001</v>
      </c>
      <c r="G111" s="22">
        <f t="shared" si="10"/>
        <v>55.250267857142859</v>
      </c>
      <c r="H111" s="45">
        <f t="shared" si="11"/>
        <v>26.260304841269843</v>
      </c>
      <c r="I111" s="42">
        <f t="shared" si="12"/>
        <v>81.510572698412702</v>
      </c>
      <c r="J111" s="30">
        <f t="shared" si="14"/>
        <v>310</v>
      </c>
      <c r="K111" s="195"/>
      <c r="L111" s="27">
        <f t="shared" si="13"/>
        <v>391.51057269841272</v>
      </c>
    </row>
    <row r="112" spans="1:12" ht="15" customHeight="1" x14ac:dyDescent="0.45">
      <c r="A112" s="314"/>
      <c r="B112" s="5" t="s">
        <v>8</v>
      </c>
      <c r="C112" s="2">
        <v>302</v>
      </c>
      <c r="D112" s="1">
        <v>3322090</v>
      </c>
      <c r="E112" s="1">
        <v>3329829</v>
      </c>
      <c r="F112" s="41">
        <f t="shared" si="16"/>
        <v>7.7389999999999999</v>
      </c>
      <c r="G112" s="22">
        <f t="shared" si="10"/>
        <v>31.849670238095239</v>
      </c>
      <c r="H112" s="45">
        <f t="shared" si="11"/>
        <v>26.260304841269843</v>
      </c>
      <c r="I112" s="42">
        <f t="shared" si="12"/>
        <v>58.109975079365086</v>
      </c>
      <c r="J112" s="30">
        <f t="shared" si="14"/>
        <v>310</v>
      </c>
      <c r="K112" s="195"/>
      <c r="L112" s="27">
        <f t="shared" si="13"/>
        <v>368.10997507936509</v>
      </c>
    </row>
    <row r="113" spans="1:12" ht="15" customHeight="1" x14ac:dyDescent="0.45">
      <c r="A113" s="314"/>
      <c r="B113" s="5" t="s">
        <v>8</v>
      </c>
      <c r="C113" s="2">
        <v>303</v>
      </c>
      <c r="D113" s="1">
        <v>3599997</v>
      </c>
      <c r="E113" s="1">
        <v>3619731</v>
      </c>
      <c r="F113" s="41">
        <f t="shared" si="16"/>
        <v>19.734000000000002</v>
      </c>
      <c r="G113" s="22">
        <f t="shared" si="10"/>
        <v>81.214807142857154</v>
      </c>
      <c r="H113" s="45">
        <f t="shared" si="11"/>
        <v>26.260304841269843</v>
      </c>
      <c r="I113" s="42">
        <f t="shared" si="12"/>
        <v>107.475111984127</v>
      </c>
      <c r="J113" s="30">
        <f t="shared" si="14"/>
        <v>310</v>
      </c>
      <c r="K113" s="195"/>
      <c r="L113" s="27">
        <f t="shared" si="13"/>
        <v>417.47511198412701</v>
      </c>
    </row>
    <row r="114" spans="1:12" ht="15" customHeight="1" x14ac:dyDescent="0.45">
      <c r="A114" s="314"/>
      <c r="B114" s="5" t="s">
        <v>8</v>
      </c>
      <c r="C114" s="2">
        <v>304</v>
      </c>
      <c r="D114" s="1">
        <v>9392</v>
      </c>
      <c r="E114" s="1">
        <v>19982</v>
      </c>
      <c r="F114" s="41">
        <f t="shared" si="16"/>
        <v>10.59</v>
      </c>
      <c r="G114" s="22">
        <f t="shared" si="10"/>
        <v>43.582892857142859</v>
      </c>
      <c r="H114" s="45">
        <f t="shared" si="11"/>
        <v>26.260304841269843</v>
      </c>
      <c r="I114" s="42">
        <f t="shared" si="12"/>
        <v>69.843197698412695</v>
      </c>
      <c r="J114" s="30">
        <f t="shared" si="14"/>
        <v>310</v>
      </c>
      <c r="K114" s="195"/>
      <c r="L114" s="27">
        <f t="shared" si="13"/>
        <v>379.84319769841272</v>
      </c>
    </row>
    <row r="115" spans="1:12" ht="15" customHeight="1" x14ac:dyDescent="0.45">
      <c r="A115" s="314"/>
      <c r="B115" s="5" t="s">
        <v>8</v>
      </c>
      <c r="C115" s="2">
        <v>401</v>
      </c>
      <c r="D115" s="1">
        <v>2756540</v>
      </c>
      <c r="E115" s="1">
        <v>2767713</v>
      </c>
      <c r="F115" s="41">
        <f t="shared" si="16"/>
        <v>11.173</v>
      </c>
      <c r="G115" s="22">
        <f t="shared" si="10"/>
        <v>45.982215476190476</v>
      </c>
      <c r="H115" s="45">
        <f t="shared" si="11"/>
        <v>26.260304841269843</v>
      </c>
      <c r="I115" s="42">
        <f t="shared" si="12"/>
        <v>72.242520317460318</v>
      </c>
      <c r="J115" s="30">
        <f t="shared" si="14"/>
        <v>310</v>
      </c>
      <c r="K115" s="195"/>
      <c r="L115" s="27">
        <f t="shared" si="13"/>
        <v>382.24252031746033</v>
      </c>
    </row>
    <row r="116" spans="1:12" ht="15" customHeight="1" x14ac:dyDescent="0.45">
      <c r="A116" s="314"/>
      <c r="B116" s="5" t="s">
        <v>8</v>
      </c>
      <c r="C116" s="2">
        <v>402</v>
      </c>
      <c r="D116" s="1">
        <v>4187</v>
      </c>
      <c r="E116" s="1">
        <v>5581</v>
      </c>
      <c r="F116" s="41">
        <f t="shared" si="16"/>
        <v>1.3940000000000001</v>
      </c>
      <c r="G116" s="22">
        <f t="shared" si="10"/>
        <v>5.7369738095238105</v>
      </c>
      <c r="H116" s="45">
        <f t="shared" si="11"/>
        <v>26.260304841269843</v>
      </c>
      <c r="I116" s="42">
        <f t="shared" si="12"/>
        <v>31.997278650793653</v>
      </c>
      <c r="J116" s="30">
        <f t="shared" si="14"/>
        <v>310</v>
      </c>
      <c r="K116" s="195"/>
      <c r="L116" s="27">
        <f t="shared" si="13"/>
        <v>341.99727865079365</v>
      </c>
    </row>
    <row r="117" spans="1:12" ht="15" customHeight="1" x14ac:dyDescent="0.45">
      <c r="A117" s="314"/>
      <c r="B117" s="5" t="s">
        <v>8</v>
      </c>
      <c r="C117" s="2">
        <v>403</v>
      </c>
      <c r="D117" s="1">
        <v>531163</v>
      </c>
      <c r="E117" s="1">
        <v>531629</v>
      </c>
      <c r="F117" s="41">
        <f t="shared" si="16"/>
        <v>0.46600000000000003</v>
      </c>
      <c r="G117" s="22">
        <f t="shared" si="10"/>
        <v>1.9178119047619049</v>
      </c>
      <c r="H117" s="45">
        <f t="shared" si="11"/>
        <v>26.260304841269843</v>
      </c>
      <c r="I117" s="42">
        <f t="shared" si="12"/>
        <v>28.178116746031748</v>
      </c>
      <c r="J117" s="30">
        <f t="shared" si="14"/>
        <v>310</v>
      </c>
      <c r="K117" s="195"/>
      <c r="L117" s="27">
        <f t="shared" si="13"/>
        <v>338.17811674603172</v>
      </c>
    </row>
    <row r="118" spans="1:12" ht="15" customHeight="1" x14ac:dyDescent="0.45">
      <c r="A118" s="314"/>
      <c r="B118" s="5" t="s">
        <v>8</v>
      </c>
      <c r="C118" s="2">
        <v>404</v>
      </c>
      <c r="D118" s="1">
        <v>2681697</v>
      </c>
      <c r="E118" s="1">
        <v>2696382</v>
      </c>
      <c r="F118" s="41">
        <f t="shared" si="16"/>
        <v>14.685</v>
      </c>
      <c r="G118" s="22">
        <f t="shared" si="10"/>
        <v>60.435767857142856</v>
      </c>
      <c r="H118" s="45">
        <f t="shared" si="11"/>
        <v>26.260304841269843</v>
      </c>
      <c r="I118" s="42">
        <f t="shared" si="12"/>
        <v>86.696072698412706</v>
      </c>
      <c r="J118" s="30">
        <f t="shared" si="14"/>
        <v>310</v>
      </c>
      <c r="K118" s="195"/>
      <c r="L118" s="27">
        <f t="shared" si="13"/>
        <v>396.69607269841271</v>
      </c>
    </row>
    <row r="119" spans="1:12" ht="15" customHeight="1" x14ac:dyDescent="0.45">
      <c r="A119" s="314"/>
      <c r="B119" s="5" t="s">
        <v>8</v>
      </c>
      <c r="C119" s="2">
        <v>501</v>
      </c>
      <c r="D119" s="1">
        <v>2712392</v>
      </c>
      <c r="E119" s="1">
        <v>2728611</v>
      </c>
      <c r="F119" s="41">
        <f t="shared" si="16"/>
        <v>16.219000000000001</v>
      </c>
      <c r="G119" s="22">
        <f t="shared" si="10"/>
        <v>66.748908333333333</v>
      </c>
      <c r="H119" s="45">
        <f t="shared" si="11"/>
        <v>26.260304841269843</v>
      </c>
      <c r="I119" s="42">
        <f t="shared" si="12"/>
        <v>93.009213174603175</v>
      </c>
      <c r="J119" s="30">
        <f t="shared" si="14"/>
        <v>310</v>
      </c>
      <c r="K119" s="195"/>
      <c r="L119" s="27">
        <f t="shared" si="13"/>
        <v>403.00921317460319</v>
      </c>
    </row>
    <row r="120" spans="1:12" ht="15" customHeight="1" x14ac:dyDescent="0.45">
      <c r="A120" s="314"/>
      <c r="B120" s="5" t="s">
        <v>8</v>
      </c>
      <c r="C120" s="2">
        <v>502</v>
      </c>
      <c r="D120" s="1">
        <v>5777481</v>
      </c>
      <c r="E120" s="1">
        <v>5815658</v>
      </c>
      <c r="F120" s="41">
        <f t="shared" si="16"/>
        <v>38.177</v>
      </c>
      <c r="G120" s="22">
        <f t="shared" si="10"/>
        <v>157.11653452380952</v>
      </c>
      <c r="H120" s="45">
        <f t="shared" si="11"/>
        <v>26.260304841269843</v>
      </c>
      <c r="I120" s="42">
        <f t="shared" si="12"/>
        <v>183.37683936507938</v>
      </c>
      <c r="J120" s="30">
        <f t="shared" si="14"/>
        <v>310</v>
      </c>
      <c r="K120" s="195"/>
      <c r="L120" s="27">
        <f t="shared" si="13"/>
        <v>493.37683936507938</v>
      </c>
    </row>
    <row r="121" spans="1:12" ht="15" customHeight="1" x14ac:dyDescent="0.45">
      <c r="A121" s="314"/>
      <c r="B121" s="5" t="s">
        <v>8</v>
      </c>
      <c r="C121" s="2">
        <v>503</v>
      </c>
      <c r="D121" s="1">
        <v>53696</v>
      </c>
      <c r="E121" s="1">
        <v>68281</v>
      </c>
      <c r="F121" s="41">
        <f t="shared" si="16"/>
        <v>14.585000000000001</v>
      </c>
      <c r="G121" s="22">
        <f t="shared" si="10"/>
        <v>60.024220238095239</v>
      </c>
      <c r="H121" s="45">
        <f t="shared" si="11"/>
        <v>26.260304841269843</v>
      </c>
      <c r="I121" s="42">
        <f t="shared" si="12"/>
        <v>86.284525079365082</v>
      </c>
      <c r="J121" s="30">
        <f t="shared" si="14"/>
        <v>310</v>
      </c>
      <c r="K121" s="195"/>
      <c r="L121" s="27">
        <f t="shared" si="13"/>
        <v>396.2845250793651</v>
      </c>
    </row>
    <row r="122" spans="1:12" ht="15.75" customHeight="1" x14ac:dyDescent="0.45">
      <c r="A122" s="314"/>
      <c r="B122" s="5" t="s">
        <v>8</v>
      </c>
      <c r="C122" s="2">
        <v>504</v>
      </c>
      <c r="D122" s="1">
        <v>4252387</v>
      </c>
      <c r="E122" s="1">
        <v>4284959</v>
      </c>
      <c r="F122" s="41">
        <f t="shared" si="16"/>
        <v>32.572000000000003</v>
      </c>
      <c r="G122" s="22">
        <f t="shared" si="10"/>
        <v>134.04929047619049</v>
      </c>
      <c r="H122" s="45">
        <f t="shared" si="11"/>
        <v>26.260304841269843</v>
      </c>
      <c r="I122" s="42">
        <f t="shared" si="12"/>
        <v>160.30959531746032</v>
      </c>
      <c r="J122" s="30">
        <f t="shared" si="14"/>
        <v>310</v>
      </c>
      <c r="K122" s="195"/>
      <c r="L122" s="27">
        <f t="shared" si="13"/>
        <v>470.30959531746032</v>
      </c>
    </row>
    <row r="123" spans="1:12" ht="15" customHeight="1" x14ac:dyDescent="0.45">
      <c r="A123" s="318"/>
      <c r="B123" s="242" t="s">
        <v>9</v>
      </c>
      <c r="C123" s="2">
        <v>101</v>
      </c>
      <c r="D123" s="1">
        <v>2944378</v>
      </c>
      <c r="E123" s="1">
        <v>2962580</v>
      </c>
      <c r="F123" s="41">
        <f t="shared" si="16"/>
        <v>18.202000000000002</v>
      </c>
      <c r="G123" s="22">
        <f t="shared" si="10"/>
        <v>74.909897619047626</v>
      </c>
      <c r="H123" s="45">
        <f t="shared" si="11"/>
        <v>26.260304841269843</v>
      </c>
      <c r="I123" s="42">
        <f t="shared" si="12"/>
        <v>101.17020246031747</v>
      </c>
      <c r="J123" s="30">
        <f t="shared" si="14"/>
        <v>310</v>
      </c>
      <c r="K123" s="195"/>
      <c r="L123" s="27">
        <f t="shared" si="13"/>
        <v>411.17020246031746</v>
      </c>
    </row>
    <row r="124" spans="1:12" ht="15" customHeight="1" x14ac:dyDescent="0.45">
      <c r="A124" s="318"/>
      <c r="B124" s="5" t="s">
        <v>9</v>
      </c>
      <c r="C124" s="2">
        <v>102</v>
      </c>
      <c r="D124" s="1">
        <v>21879</v>
      </c>
      <c r="E124" s="1">
        <v>22523</v>
      </c>
      <c r="F124" s="41">
        <f>(E124-D124)*0.01</f>
        <v>6.44</v>
      </c>
      <c r="G124" s="22">
        <f>MMULT($G$1,1/$F$183)*F124</f>
        <v>26.503666666666668</v>
      </c>
      <c r="H124" s="45">
        <f t="shared" si="11"/>
        <v>26.260304841269843</v>
      </c>
      <c r="I124" s="42">
        <f t="shared" si="12"/>
        <v>52.76397150793651</v>
      </c>
      <c r="J124" s="30">
        <f t="shared" si="14"/>
        <v>310</v>
      </c>
      <c r="K124" s="195"/>
      <c r="L124" s="27">
        <f t="shared" si="13"/>
        <v>362.7639715079365</v>
      </c>
    </row>
    <row r="125" spans="1:12" ht="15" customHeight="1" x14ac:dyDescent="0.45">
      <c r="A125" s="318"/>
      <c r="B125" s="5" t="s">
        <v>9</v>
      </c>
      <c r="C125" s="2">
        <v>103</v>
      </c>
      <c r="D125" s="1">
        <v>2870048</v>
      </c>
      <c r="E125" s="1">
        <v>2888395</v>
      </c>
      <c r="F125" s="41">
        <f t="shared" ref="F125:F182" si="17">(E125-D125)*$N$1</f>
        <v>18.347000000000001</v>
      </c>
      <c r="G125" s="22">
        <f t="shared" si="10"/>
        <v>75.506641666666667</v>
      </c>
      <c r="H125" s="45">
        <f t="shared" si="11"/>
        <v>26.260304841269843</v>
      </c>
      <c r="I125" s="42">
        <f t="shared" si="12"/>
        <v>101.76694650793651</v>
      </c>
      <c r="J125" s="30">
        <f t="shared" si="14"/>
        <v>310</v>
      </c>
      <c r="K125" s="195"/>
      <c r="L125" s="27">
        <f t="shared" si="13"/>
        <v>411.7669465079365</v>
      </c>
    </row>
    <row r="126" spans="1:12" ht="15" customHeight="1" x14ac:dyDescent="0.45">
      <c r="A126" s="318"/>
      <c r="B126" s="5" t="s">
        <v>9</v>
      </c>
      <c r="C126" s="2">
        <v>104</v>
      </c>
      <c r="D126" s="1">
        <v>2878473</v>
      </c>
      <c r="E126" s="1">
        <v>2880780</v>
      </c>
      <c r="F126" s="41">
        <f t="shared" si="17"/>
        <v>2.3069999999999999</v>
      </c>
      <c r="G126" s="22">
        <f t="shared" si="10"/>
        <v>9.4944035714285704</v>
      </c>
      <c r="H126" s="45">
        <f t="shared" si="11"/>
        <v>26.260304841269843</v>
      </c>
      <c r="I126" s="42">
        <f t="shared" si="12"/>
        <v>35.754708412698413</v>
      </c>
      <c r="J126" s="30">
        <f t="shared" si="14"/>
        <v>310</v>
      </c>
      <c r="K126" s="195"/>
      <c r="L126" s="27">
        <f t="shared" si="13"/>
        <v>345.75470841269839</v>
      </c>
    </row>
    <row r="127" spans="1:12" ht="15" customHeight="1" x14ac:dyDescent="0.45">
      <c r="A127" s="318"/>
      <c r="B127" s="5" t="s">
        <v>9</v>
      </c>
      <c r="C127" s="2">
        <v>201</v>
      </c>
      <c r="D127" s="1">
        <v>2591404</v>
      </c>
      <c r="E127" s="1">
        <v>2602187</v>
      </c>
      <c r="F127" s="41">
        <f t="shared" si="17"/>
        <v>10.782999999999999</v>
      </c>
      <c r="G127" s="22">
        <f t="shared" si="10"/>
        <v>44.377179761904763</v>
      </c>
      <c r="H127" s="45">
        <f t="shared" si="11"/>
        <v>26.260304841269843</v>
      </c>
      <c r="I127" s="42">
        <f t="shared" si="12"/>
        <v>70.637484603174613</v>
      </c>
      <c r="J127" s="30">
        <f t="shared" si="14"/>
        <v>310</v>
      </c>
      <c r="K127" s="195"/>
      <c r="L127" s="27">
        <f t="shared" si="13"/>
        <v>380.63748460317458</v>
      </c>
    </row>
    <row r="128" spans="1:12" ht="15" customHeight="1" x14ac:dyDescent="0.45">
      <c r="A128" s="318"/>
      <c r="B128" s="5" t="s">
        <v>9</v>
      </c>
      <c r="C128" s="2">
        <v>202</v>
      </c>
      <c r="D128" s="1">
        <v>4713513</v>
      </c>
      <c r="E128" s="1">
        <v>4728750</v>
      </c>
      <c r="F128" s="41">
        <f t="shared" si="17"/>
        <v>15.237</v>
      </c>
      <c r="G128" s="22">
        <f t="shared" si="10"/>
        <v>62.707510714285718</v>
      </c>
      <c r="H128" s="45">
        <f t="shared" si="11"/>
        <v>26.260304841269843</v>
      </c>
      <c r="I128" s="42">
        <f t="shared" si="12"/>
        <v>88.967815555555561</v>
      </c>
      <c r="J128" s="30">
        <f t="shared" si="14"/>
        <v>310</v>
      </c>
      <c r="K128" s="195"/>
      <c r="L128" s="27">
        <f t="shared" si="13"/>
        <v>398.96781555555555</v>
      </c>
    </row>
    <row r="129" spans="1:12" ht="15" customHeight="1" x14ac:dyDescent="0.45">
      <c r="A129" s="318"/>
      <c r="B129" s="5" t="s">
        <v>9</v>
      </c>
      <c r="C129" s="2">
        <v>203</v>
      </c>
      <c r="D129" s="1">
        <v>2043938</v>
      </c>
      <c r="E129" s="1">
        <v>2044059</v>
      </c>
      <c r="F129" s="41">
        <f t="shared" si="17"/>
        <v>0.121</v>
      </c>
      <c r="G129" s="22">
        <f t="shared" si="10"/>
        <v>0.49797261904761903</v>
      </c>
      <c r="H129" s="45">
        <f t="shared" si="11"/>
        <v>26.260304841269843</v>
      </c>
      <c r="I129" s="42">
        <f t="shared" si="12"/>
        <v>26.758277460317462</v>
      </c>
      <c r="J129" s="30">
        <f t="shared" si="14"/>
        <v>310</v>
      </c>
      <c r="K129" s="195"/>
      <c r="L129" s="27">
        <f t="shared" si="13"/>
        <v>336.75827746031746</v>
      </c>
    </row>
    <row r="130" spans="1:12" ht="15" customHeight="1" x14ac:dyDescent="0.45">
      <c r="A130" s="318"/>
      <c r="B130" s="5" t="s">
        <v>9</v>
      </c>
      <c r="C130" s="2">
        <v>204</v>
      </c>
      <c r="D130" s="1">
        <v>2902431</v>
      </c>
      <c r="E130" s="1">
        <v>2908997</v>
      </c>
      <c r="F130" s="41">
        <f t="shared" si="17"/>
        <v>6.5659999999999998</v>
      </c>
      <c r="G130" s="22">
        <f t="shared" si="10"/>
        <v>27.022216666666665</v>
      </c>
      <c r="H130" s="45">
        <f t="shared" si="11"/>
        <v>26.260304841269843</v>
      </c>
      <c r="I130" s="42">
        <f t="shared" si="12"/>
        <v>53.282521507936508</v>
      </c>
      <c r="J130" s="30">
        <f t="shared" si="14"/>
        <v>310</v>
      </c>
      <c r="K130" s="195"/>
      <c r="L130" s="27">
        <f t="shared" si="13"/>
        <v>363.28252150793651</v>
      </c>
    </row>
    <row r="131" spans="1:12" ht="15" customHeight="1" x14ac:dyDescent="0.45">
      <c r="A131" s="318"/>
      <c r="B131" s="5" t="s">
        <v>9</v>
      </c>
      <c r="C131" s="2">
        <v>301</v>
      </c>
      <c r="D131" s="1">
        <v>2967453</v>
      </c>
      <c r="E131" s="1">
        <v>2991679</v>
      </c>
      <c r="F131" s="41">
        <f t="shared" si="17"/>
        <v>24.225999999999999</v>
      </c>
      <c r="G131" s="22">
        <f t="shared" si="10"/>
        <v>99.701526190476187</v>
      </c>
      <c r="H131" s="45">
        <f t="shared" si="11"/>
        <v>26.260304841269843</v>
      </c>
      <c r="I131" s="42">
        <f t="shared" si="12"/>
        <v>125.96183103174603</v>
      </c>
      <c r="J131" s="30">
        <f t="shared" si="14"/>
        <v>310</v>
      </c>
      <c r="K131" s="195">
        <v>100</v>
      </c>
      <c r="L131" s="27">
        <f t="shared" si="13"/>
        <v>535.96183103174599</v>
      </c>
    </row>
    <row r="132" spans="1:12" ht="15" customHeight="1" x14ac:dyDescent="0.45">
      <c r="A132" s="318"/>
      <c r="B132" s="5" t="s">
        <v>9</v>
      </c>
      <c r="C132" s="2">
        <v>302</v>
      </c>
      <c r="D132" s="1">
        <v>1860599</v>
      </c>
      <c r="E132" s="1">
        <v>1863293</v>
      </c>
      <c r="F132" s="41">
        <f t="shared" si="17"/>
        <v>2.694</v>
      </c>
      <c r="G132" s="22">
        <f t="shared" ref="G132:G182" si="18">MMULT($G$1,1/$F$183)*F132</f>
        <v>11.087092857142856</v>
      </c>
      <c r="H132" s="45">
        <f t="shared" ref="H132:H182" si="19">MMULT($H$1,1/180)</f>
        <v>26.260304841269843</v>
      </c>
      <c r="I132" s="42">
        <f t="shared" ref="I132:I182" si="20">SUM(G132,H132)</f>
        <v>37.347397698412699</v>
      </c>
      <c r="J132" s="30">
        <f t="shared" si="14"/>
        <v>310</v>
      </c>
      <c r="K132" s="195"/>
      <c r="L132" s="27">
        <f t="shared" ref="L132:L182" si="21">SUM(I132,J132,K132)</f>
        <v>347.34739769841269</v>
      </c>
    </row>
    <row r="133" spans="1:12" ht="15" customHeight="1" x14ac:dyDescent="0.45">
      <c r="A133" s="318"/>
      <c r="B133" s="5" t="s">
        <v>9</v>
      </c>
      <c r="C133" s="2">
        <v>303</v>
      </c>
      <c r="D133" s="1">
        <v>3397421</v>
      </c>
      <c r="E133" s="1">
        <v>3409732</v>
      </c>
      <c r="F133" s="41">
        <f t="shared" si="17"/>
        <v>12.311</v>
      </c>
      <c r="G133" s="22">
        <f t="shared" si="18"/>
        <v>50.66562738095238</v>
      </c>
      <c r="H133" s="45">
        <f t="shared" si="19"/>
        <v>26.260304841269843</v>
      </c>
      <c r="I133" s="42">
        <f t="shared" si="20"/>
        <v>76.925932222222229</v>
      </c>
      <c r="J133" s="30">
        <f t="shared" ref="J133:J182" si="22">SUM($J$3)</f>
        <v>310</v>
      </c>
      <c r="K133" s="195"/>
      <c r="L133" s="27">
        <f t="shared" si="21"/>
        <v>386.92593222222223</v>
      </c>
    </row>
    <row r="134" spans="1:12" ht="15" customHeight="1" x14ac:dyDescent="0.45">
      <c r="A134" s="318"/>
      <c r="B134" s="5" t="s">
        <v>9</v>
      </c>
      <c r="C134" s="2">
        <v>304</v>
      </c>
      <c r="D134" s="1">
        <v>3949507</v>
      </c>
      <c r="E134" s="1">
        <v>3970066</v>
      </c>
      <c r="F134" s="41">
        <f t="shared" si="17"/>
        <v>20.559000000000001</v>
      </c>
      <c r="G134" s="22">
        <f t="shared" si="18"/>
        <v>84.610075000000009</v>
      </c>
      <c r="H134" s="45">
        <f t="shared" si="19"/>
        <v>26.260304841269843</v>
      </c>
      <c r="I134" s="42">
        <f t="shared" si="20"/>
        <v>110.87037984126985</v>
      </c>
      <c r="J134" s="30">
        <f t="shared" si="22"/>
        <v>310</v>
      </c>
      <c r="K134" s="195"/>
      <c r="L134" s="27">
        <f t="shared" si="21"/>
        <v>420.87037984126982</v>
      </c>
    </row>
    <row r="135" spans="1:12" ht="15" customHeight="1" x14ac:dyDescent="0.45">
      <c r="A135" s="318"/>
      <c r="B135" s="5" t="s">
        <v>9</v>
      </c>
      <c r="C135" s="2">
        <v>401</v>
      </c>
      <c r="D135" s="1">
        <v>1898491</v>
      </c>
      <c r="E135" s="1">
        <v>1905408</v>
      </c>
      <c r="F135" s="41">
        <f t="shared" si="17"/>
        <v>6.9169999999999998</v>
      </c>
      <c r="G135" s="22">
        <f t="shared" si="18"/>
        <v>28.466748809523811</v>
      </c>
      <c r="H135" s="45">
        <f t="shared" si="19"/>
        <v>26.260304841269843</v>
      </c>
      <c r="I135" s="42">
        <f t="shared" si="20"/>
        <v>54.72705365079365</v>
      </c>
      <c r="J135" s="30">
        <f t="shared" si="22"/>
        <v>310</v>
      </c>
      <c r="K135" s="195"/>
      <c r="L135" s="27">
        <f t="shared" si="21"/>
        <v>364.72705365079366</v>
      </c>
    </row>
    <row r="136" spans="1:12" ht="15" customHeight="1" x14ac:dyDescent="0.45">
      <c r="A136" s="318"/>
      <c r="B136" s="5" t="s">
        <v>9</v>
      </c>
      <c r="C136" s="2">
        <v>402</v>
      </c>
      <c r="D136" s="1">
        <v>2010323</v>
      </c>
      <c r="E136" s="1">
        <v>2010900</v>
      </c>
      <c r="F136" s="41">
        <f t="shared" si="17"/>
        <v>0.57699999999999996</v>
      </c>
      <c r="G136" s="22">
        <f t="shared" si="18"/>
        <v>2.3746297619047616</v>
      </c>
      <c r="H136" s="45">
        <f t="shared" si="19"/>
        <v>26.260304841269843</v>
      </c>
      <c r="I136" s="42">
        <f t="shared" si="20"/>
        <v>28.634934603174603</v>
      </c>
      <c r="J136" s="30">
        <f t="shared" si="22"/>
        <v>310</v>
      </c>
      <c r="K136" s="195"/>
      <c r="L136" s="27">
        <f t="shared" si="21"/>
        <v>338.6349346031746</v>
      </c>
    </row>
    <row r="137" spans="1:12" ht="15" customHeight="1" x14ac:dyDescent="0.45">
      <c r="A137" s="318"/>
      <c r="B137" s="5" t="s">
        <v>9</v>
      </c>
      <c r="C137" s="2">
        <v>403</v>
      </c>
      <c r="D137" s="1">
        <v>4445207</v>
      </c>
      <c r="E137" s="1">
        <v>4469135</v>
      </c>
      <c r="F137" s="41">
        <f t="shared" si="17"/>
        <v>23.928000000000001</v>
      </c>
      <c r="G137" s="22">
        <f t="shared" si="18"/>
        <v>98.475114285714284</v>
      </c>
      <c r="H137" s="45">
        <f t="shared" si="19"/>
        <v>26.260304841269843</v>
      </c>
      <c r="I137" s="42">
        <f t="shared" si="20"/>
        <v>124.73541912698413</v>
      </c>
      <c r="J137" s="30">
        <f t="shared" si="22"/>
        <v>310</v>
      </c>
      <c r="K137" s="195"/>
      <c r="L137" s="27">
        <f t="shared" si="21"/>
        <v>434.73541912698414</v>
      </c>
    </row>
    <row r="138" spans="1:12" ht="15" customHeight="1" x14ac:dyDescent="0.45">
      <c r="A138" s="318"/>
      <c r="B138" s="5" t="s">
        <v>9</v>
      </c>
      <c r="C138" s="2">
        <v>404</v>
      </c>
      <c r="D138" s="1">
        <v>2422587</v>
      </c>
      <c r="E138" s="1">
        <v>2442064</v>
      </c>
      <c r="F138" s="41">
        <f t="shared" si="17"/>
        <v>19.477</v>
      </c>
      <c r="G138" s="22">
        <f t="shared" si="18"/>
        <v>80.15712976190477</v>
      </c>
      <c r="H138" s="45">
        <f t="shared" si="19"/>
        <v>26.260304841269843</v>
      </c>
      <c r="I138" s="42">
        <f t="shared" si="20"/>
        <v>106.41743460317461</v>
      </c>
      <c r="J138" s="30">
        <f t="shared" si="22"/>
        <v>310</v>
      </c>
      <c r="K138" s="195"/>
      <c r="L138" s="27">
        <f t="shared" si="21"/>
        <v>416.41743460317463</v>
      </c>
    </row>
    <row r="139" spans="1:12" ht="15" customHeight="1" x14ac:dyDescent="0.45">
      <c r="A139" s="318"/>
      <c r="B139" s="5" t="s">
        <v>9</v>
      </c>
      <c r="C139" s="2">
        <v>501</v>
      </c>
      <c r="D139" s="1">
        <v>3054172</v>
      </c>
      <c r="E139" s="1">
        <v>3072640</v>
      </c>
      <c r="F139" s="41">
        <f t="shared" si="17"/>
        <v>18.468</v>
      </c>
      <c r="G139" s="22">
        <f t="shared" si="18"/>
        <v>76.004614285714283</v>
      </c>
      <c r="H139" s="45">
        <f t="shared" si="19"/>
        <v>26.260304841269843</v>
      </c>
      <c r="I139" s="42">
        <f t="shared" si="20"/>
        <v>102.26491912698413</v>
      </c>
      <c r="J139" s="30">
        <f t="shared" si="22"/>
        <v>310</v>
      </c>
      <c r="K139" s="195"/>
      <c r="L139" s="27">
        <f t="shared" si="21"/>
        <v>412.26491912698413</v>
      </c>
    </row>
    <row r="140" spans="1:12" ht="15" customHeight="1" x14ac:dyDescent="0.45">
      <c r="A140" s="318"/>
      <c r="B140" s="5" t="s">
        <v>9</v>
      </c>
      <c r="C140" s="2">
        <v>502</v>
      </c>
      <c r="D140" s="1">
        <v>3010025</v>
      </c>
      <c r="E140" s="1">
        <v>3017649</v>
      </c>
      <c r="F140" s="41">
        <f t="shared" si="17"/>
        <v>7.6240000000000006</v>
      </c>
      <c r="G140" s="22">
        <f t="shared" si="18"/>
        <v>31.37639047619048</v>
      </c>
      <c r="H140" s="45">
        <f t="shared" si="19"/>
        <v>26.260304841269843</v>
      </c>
      <c r="I140" s="42">
        <f t="shared" si="20"/>
        <v>57.636695317460322</v>
      </c>
      <c r="J140" s="30">
        <f t="shared" si="22"/>
        <v>310</v>
      </c>
      <c r="K140" s="195"/>
      <c r="L140" s="27">
        <f t="shared" si="21"/>
        <v>367.63669531746029</v>
      </c>
    </row>
    <row r="141" spans="1:12" ht="15" customHeight="1" x14ac:dyDescent="0.45">
      <c r="A141" s="318"/>
      <c r="B141" s="5" t="s">
        <v>9</v>
      </c>
      <c r="C141" s="2">
        <v>503</v>
      </c>
      <c r="D141" s="1">
        <v>2979658</v>
      </c>
      <c r="E141" s="1">
        <v>2988485</v>
      </c>
      <c r="F141" s="41">
        <f t="shared" si="17"/>
        <v>8.827</v>
      </c>
      <c r="G141" s="22">
        <f t="shared" si="18"/>
        <v>36.327308333333335</v>
      </c>
      <c r="H141" s="45">
        <f t="shared" si="19"/>
        <v>26.260304841269843</v>
      </c>
      <c r="I141" s="42">
        <f t="shared" si="20"/>
        <v>62.587613174603177</v>
      </c>
      <c r="J141" s="30">
        <f t="shared" si="22"/>
        <v>310</v>
      </c>
      <c r="K141" s="195"/>
      <c r="L141" s="27">
        <f>SUM(I141,J141,K141)</f>
        <v>372.58761317460318</v>
      </c>
    </row>
    <row r="142" spans="1:12" ht="15.75" customHeight="1" x14ac:dyDescent="0.45">
      <c r="A142" s="318"/>
      <c r="B142" s="5" t="s">
        <v>9</v>
      </c>
      <c r="C142" s="2">
        <v>504</v>
      </c>
      <c r="D142" s="1">
        <v>3054177</v>
      </c>
      <c r="E142" s="1">
        <v>3060046</v>
      </c>
      <c r="F142" s="41">
        <f t="shared" si="17"/>
        <v>5.8689999999999998</v>
      </c>
      <c r="G142" s="22">
        <f t="shared" si="18"/>
        <v>24.15372976190476</v>
      </c>
      <c r="H142" s="45">
        <f t="shared" si="19"/>
        <v>26.260304841269843</v>
      </c>
      <c r="I142" s="42">
        <f t="shared" si="20"/>
        <v>50.414034603174599</v>
      </c>
      <c r="J142" s="30">
        <f t="shared" si="22"/>
        <v>310</v>
      </c>
      <c r="K142" s="195"/>
      <c r="L142" s="27">
        <f t="shared" si="21"/>
        <v>360.41403460317463</v>
      </c>
    </row>
    <row r="143" spans="1:12" x14ac:dyDescent="0.45">
      <c r="A143" s="314"/>
      <c r="B143" s="5" t="s">
        <v>10</v>
      </c>
      <c r="C143" s="2">
        <v>101</v>
      </c>
      <c r="D143" s="1">
        <v>3664283</v>
      </c>
      <c r="E143" s="1">
        <v>3686049</v>
      </c>
      <c r="F143" s="41">
        <f t="shared" si="17"/>
        <v>21.766000000000002</v>
      </c>
      <c r="G143" s="22">
        <f t="shared" si="18"/>
        <v>89.577454761904775</v>
      </c>
      <c r="H143" s="45">
        <f t="shared" si="19"/>
        <v>26.260304841269843</v>
      </c>
      <c r="I143" s="42">
        <f t="shared" si="20"/>
        <v>115.83775960317462</v>
      </c>
      <c r="J143" s="30">
        <f t="shared" si="22"/>
        <v>310</v>
      </c>
      <c r="K143" s="195"/>
      <c r="L143" s="27">
        <f t="shared" si="21"/>
        <v>425.83775960317462</v>
      </c>
    </row>
    <row r="144" spans="1:12" x14ac:dyDescent="0.45">
      <c r="A144" s="314"/>
      <c r="B144" s="242" t="s">
        <v>10</v>
      </c>
      <c r="C144" s="2">
        <v>102</v>
      </c>
      <c r="D144" s="1">
        <v>4035739</v>
      </c>
      <c r="E144" s="1">
        <v>4042727</v>
      </c>
      <c r="F144" s="41">
        <f t="shared" si="17"/>
        <v>6.9880000000000004</v>
      </c>
      <c r="G144" s="22">
        <f t="shared" si="18"/>
        <v>28.758947619047621</v>
      </c>
      <c r="H144" s="45">
        <f t="shared" si="19"/>
        <v>26.260304841269843</v>
      </c>
      <c r="I144" s="42">
        <f t="shared" si="20"/>
        <v>55.01925246031746</v>
      </c>
      <c r="J144" s="30">
        <f t="shared" si="22"/>
        <v>310</v>
      </c>
      <c r="K144" s="195"/>
      <c r="L144" s="27">
        <f t="shared" si="21"/>
        <v>365.01925246031749</v>
      </c>
    </row>
    <row r="145" spans="1:12" x14ac:dyDescent="0.45">
      <c r="A145" s="314"/>
      <c r="B145" s="5" t="s">
        <v>10</v>
      </c>
      <c r="C145" s="2">
        <v>103</v>
      </c>
      <c r="D145" s="1">
        <v>3944558</v>
      </c>
      <c r="E145" s="1">
        <v>3955113</v>
      </c>
      <c r="F145" s="41">
        <f t="shared" si="17"/>
        <v>10.555</v>
      </c>
      <c r="G145" s="22">
        <f t="shared" si="18"/>
        <v>43.438851190476193</v>
      </c>
      <c r="H145" s="45">
        <f t="shared" si="19"/>
        <v>26.260304841269843</v>
      </c>
      <c r="I145" s="42">
        <f t="shared" si="20"/>
        <v>69.699156031746043</v>
      </c>
      <c r="J145" s="30">
        <f t="shared" si="22"/>
        <v>310</v>
      </c>
      <c r="K145" s="195"/>
      <c r="L145" s="27">
        <f t="shared" si="21"/>
        <v>379.69915603174604</v>
      </c>
    </row>
    <row r="146" spans="1:12" x14ac:dyDescent="0.45">
      <c r="A146" s="314"/>
      <c r="B146" s="5" t="s">
        <v>10</v>
      </c>
      <c r="C146" s="2">
        <v>104</v>
      </c>
      <c r="D146" s="1">
        <v>2930670</v>
      </c>
      <c r="E146" s="1">
        <v>2945932</v>
      </c>
      <c r="F146" s="41">
        <f t="shared" si="17"/>
        <v>15.262</v>
      </c>
      <c r="G146" s="22">
        <f t="shared" si="18"/>
        <v>62.81039761904762</v>
      </c>
      <c r="H146" s="45">
        <f t="shared" si="19"/>
        <v>26.260304841269843</v>
      </c>
      <c r="I146" s="42">
        <f t="shared" si="20"/>
        <v>89.070702460317463</v>
      </c>
      <c r="J146" s="30">
        <f t="shared" si="22"/>
        <v>310</v>
      </c>
      <c r="K146" s="195"/>
      <c r="L146" s="27">
        <f t="shared" si="21"/>
        <v>399.07070246031748</v>
      </c>
    </row>
    <row r="147" spans="1:12" x14ac:dyDescent="0.45">
      <c r="A147" s="314"/>
      <c r="B147" s="5" t="s">
        <v>10</v>
      </c>
      <c r="C147" s="2">
        <v>201</v>
      </c>
      <c r="D147" s="1">
        <v>5281571</v>
      </c>
      <c r="E147" s="1">
        <v>5320417</v>
      </c>
      <c r="F147" s="41">
        <f t="shared" si="17"/>
        <v>38.846000000000004</v>
      </c>
      <c r="G147" s="22">
        <f t="shared" si="18"/>
        <v>159.86978809523811</v>
      </c>
      <c r="H147" s="45">
        <f t="shared" si="19"/>
        <v>26.260304841269843</v>
      </c>
      <c r="I147" s="42">
        <f t="shared" si="20"/>
        <v>186.13009293650794</v>
      </c>
      <c r="J147" s="30">
        <f t="shared" si="22"/>
        <v>310</v>
      </c>
      <c r="K147" s="195"/>
      <c r="L147" s="27">
        <f t="shared" si="21"/>
        <v>496.13009293650794</v>
      </c>
    </row>
    <row r="148" spans="1:12" x14ac:dyDescent="0.45">
      <c r="A148" s="314"/>
      <c r="B148" s="5" t="s">
        <v>10</v>
      </c>
      <c r="C148" s="2">
        <v>202</v>
      </c>
      <c r="D148" s="1">
        <v>3395269</v>
      </c>
      <c r="E148" s="1">
        <v>3403914</v>
      </c>
      <c r="F148" s="41">
        <f t="shared" si="17"/>
        <v>8.6449999999999996</v>
      </c>
      <c r="G148" s="22">
        <f t="shared" si="18"/>
        <v>35.578291666666665</v>
      </c>
      <c r="H148" s="45">
        <f t="shared" si="19"/>
        <v>26.260304841269843</v>
      </c>
      <c r="I148" s="42">
        <f t="shared" si="20"/>
        <v>61.838596507936508</v>
      </c>
      <c r="J148" s="30">
        <f t="shared" si="22"/>
        <v>310</v>
      </c>
      <c r="K148" s="195"/>
      <c r="L148" s="27">
        <f t="shared" si="21"/>
        <v>371.83859650793653</v>
      </c>
    </row>
    <row r="149" spans="1:12" x14ac:dyDescent="0.45">
      <c r="A149" s="314"/>
      <c r="B149" s="5" t="s">
        <v>10</v>
      </c>
      <c r="C149" s="2">
        <v>203</v>
      </c>
      <c r="D149" s="1">
        <v>3419910</v>
      </c>
      <c r="E149" s="1">
        <v>3432250</v>
      </c>
      <c r="F149" s="41">
        <f t="shared" si="17"/>
        <v>12.34</v>
      </c>
      <c r="G149" s="22">
        <f t="shared" si="18"/>
        <v>50.784976190476193</v>
      </c>
      <c r="H149" s="45">
        <f t="shared" si="19"/>
        <v>26.260304841269843</v>
      </c>
      <c r="I149" s="42">
        <f t="shared" si="20"/>
        <v>77.045281031746043</v>
      </c>
      <c r="J149" s="30">
        <f t="shared" si="22"/>
        <v>310</v>
      </c>
      <c r="K149" s="195"/>
      <c r="L149" s="27">
        <f t="shared" si="21"/>
        <v>387.04528103174607</v>
      </c>
    </row>
    <row r="150" spans="1:12" x14ac:dyDescent="0.45">
      <c r="A150" s="314"/>
      <c r="B150" s="5" t="s">
        <v>10</v>
      </c>
      <c r="C150" s="2">
        <v>204</v>
      </c>
      <c r="D150" s="1">
        <v>1899811</v>
      </c>
      <c r="E150" s="1">
        <v>1905591</v>
      </c>
      <c r="F150" s="41">
        <f t="shared" si="17"/>
        <v>5.78</v>
      </c>
      <c r="G150" s="22">
        <f t="shared" si="18"/>
        <v>23.787452380952381</v>
      </c>
      <c r="H150" s="45">
        <f t="shared" si="19"/>
        <v>26.260304841269843</v>
      </c>
      <c r="I150" s="42">
        <f t="shared" si="20"/>
        <v>50.047757222222224</v>
      </c>
      <c r="J150" s="30">
        <f t="shared" si="22"/>
        <v>310</v>
      </c>
      <c r="K150" s="195"/>
      <c r="L150" s="27">
        <f t="shared" si="21"/>
        <v>360.04775722222223</v>
      </c>
    </row>
    <row r="151" spans="1:12" x14ac:dyDescent="0.45">
      <c r="A151" s="314"/>
      <c r="B151" s="5" t="s">
        <v>10</v>
      </c>
      <c r="C151" s="2">
        <v>301</v>
      </c>
      <c r="D151" s="1">
        <v>2325752</v>
      </c>
      <c r="E151" s="1">
        <v>2339230</v>
      </c>
      <c r="F151" s="41">
        <f t="shared" si="17"/>
        <v>13.478</v>
      </c>
      <c r="G151" s="22">
        <f t="shared" si="18"/>
        <v>55.468388095238097</v>
      </c>
      <c r="H151" s="45">
        <f t="shared" si="19"/>
        <v>26.260304841269843</v>
      </c>
      <c r="I151" s="42">
        <f t="shared" si="20"/>
        <v>81.72869293650794</v>
      </c>
      <c r="J151" s="30">
        <f t="shared" si="22"/>
        <v>310</v>
      </c>
      <c r="K151" s="195"/>
      <c r="L151" s="27">
        <f t="shared" si="21"/>
        <v>391.72869293650797</v>
      </c>
    </row>
    <row r="152" spans="1:12" x14ac:dyDescent="0.45">
      <c r="A152" s="314"/>
      <c r="B152" s="5" t="s">
        <v>10</v>
      </c>
      <c r="C152" s="2">
        <v>302</v>
      </c>
      <c r="D152" s="1">
        <v>4180122</v>
      </c>
      <c r="E152" s="1">
        <v>4200740</v>
      </c>
      <c r="F152" s="41">
        <f t="shared" si="17"/>
        <v>20.618000000000002</v>
      </c>
      <c r="G152" s="22">
        <f t="shared" si="18"/>
        <v>84.8528880952381</v>
      </c>
      <c r="H152" s="45">
        <f t="shared" si="19"/>
        <v>26.260304841269843</v>
      </c>
      <c r="I152" s="42">
        <f t="shared" si="20"/>
        <v>111.11319293650794</v>
      </c>
      <c r="J152" s="30">
        <f t="shared" si="22"/>
        <v>310</v>
      </c>
      <c r="K152" s="195"/>
      <c r="L152" s="27">
        <f t="shared" si="21"/>
        <v>421.11319293650797</v>
      </c>
    </row>
    <row r="153" spans="1:12" x14ac:dyDescent="0.45">
      <c r="A153" s="314"/>
      <c r="B153" s="5" t="s">
        <v>10</v>
      </c>
      <c r="C153" s="2">
        <v>303</v>
      </c>
      <c r="D153" s="1">
        <v>2632251</v>
      </c>
      <c r="E153" s="1">
        <v>2641202</v>
      </c>
      <c r="F153" s="41">
        <f t="shared" si="17"/>
        <v>8.9510000000000005</v>
      </c>
      <c r="G153" s="22">
        <f t="shared" si="18"/>
        <v>36.837627380952384</v>
      </c>
      <c r="H153" s="45">
        <f t="shared" si="19"/>
        <v>26.260304841269843</v>
      </c>
      <c r="I153" s="42">
        <f t="shared" si="20"/>
        <v>63.097932222222227</v>
      </c>
      <c r="J153" s="30">
        <f t="shared" si="22"/>
        <v>310</v>
      </c>
      <c r="K153" s="195"/>
      <c r="L153" s="27">
        <f>SUM(I153,J153,K153)</f>
        <v>373.0979322222222</v>
      </c>
    </row>
    <row r="154" spans="1:12" x14ac:dyDescent="0.45">
      <c r="A154" s="314"/>
      <c r="B154" s="242" t="s">
        <v>10</v>
      </c>
      <c r="C154" s="2">
        <v>304</v>
      </c>
      <c r="D154" s="1">
        <v>2301257</v>
      </c>
      <c r="E154" s="1">
        <v>2317458</v>
      </c>
      <c r="F154" s="41">
        <f t="shared" si="17"/>
        <v>16.201000000000001</v>
      </c>
      <c r="G154" s="22">
        <f t="shared" si="18"/>
        <v>66.674829761904761</v>
      </c>
      <c r="H154" s="45">
        <f t="shared" si="19"/>
        <v>26.260304841269843</v>
      </c>
      <c r="I154" s="42">
        <f t="shared" si="20"/>
        <v>92.935134603174603</v>
      </c>
      <c r="J154" s="30">
        <f t="shared" si="22"/>
        <v>310</v>
      </c>
      <c r="K154" s="195">
        <v>300</v>
      </c>
      <c r="L154" s="27">
        <f t="shared" si="21"/>
        <v>702.93513460317467</v>
      </c>
    </row>
    <row r="155" spans="1:12" x14ac:dyDescent="0.45">
      <c r="A155" s="314"/>
      <c r="B155" s="5" t="s">
        <v>10</v>
      </c>
      <c r="C155" s="2">
        <v>401</v>
      </c>
      <c r="D155" s="1">
        <v>4896744</v>
      </c>
      <c r="E155" s="1">
        <v>4923103</v>
      </c>
      <c r="F155" s="41">
        <f t="shared" si="17"/>
        <v>26.359000000000002</v>
      </c>
      <c r="G155" s="22">
        <f t="shared" si="18"/>
        <v>108.47983690476191</v>
      </c>
      <c r="H155" s="45">
        <f t="shared" si="19"/>
        <v>26.260304841269843</v>
      </c>
      <c r="I155" s="42">
        <f t="shared" si="20"/>
        <v>134.74014174603175</v>
      </c>
      <c r="J155" s="30">
        <f t="shared" si="22"/>
        <v>310</v>
      </c>
      <c r="K155" s="195">
        <v>100</v>
      </c>
      <c r="L155" s="27">
        <f t="shared" si="21"/>
        <v>544.74014174603178</v>
      </c>
    </row>
    <row r="156" spans="1:12" x14ac:dyDescent="0.45">
      <c r="A156" s="314"/>
      <c r="B156" s="5" t="s">
        <v>10</v>
      </c>
      <c r="C156" s="2">
        <v>402</v>
      </c>
      <c r="D156" s="1">
        <v>3734792</v>
      </c>
      <c r="E156" s="1">
        <v>3748438</v>
      </c>
      <c r="F156" s="41">
        <f t="shared" si="17"/>
        <v>13.646000000000001</v>
      </c>
      <c r="G156" s="22">
        <f t="shared" si="18"/>
        <v>56.159788095238099</v>
      </c>
      <c r="H156" s="45">
        <f t="shared" si="19"/>
        <v>26.260304841269843</v>
      </c>
      <c r="I156" s="42">
        <f t="shared" si="20"/>
        <v>82.420092936507942</v>
      </c>
      <c r="J156" s="30">
        <f t="shared" si="22"/>
        <v>310</v>
      </c>
      <c r="K156" s="195"/>
      <c r="L156" s="27">
        <f t="shared" si="21"/>
        <v>392.42009293650796</v>
      </c>
    </row>
    <row r="157" spans="1:12" x14ac:dyDescent="0.45">
      <c r="A157" s="314"/>
      <c r="B157" s="5" t="s">
        <v>10</v>
      </c>
      <c r="C157" s="2">
        <v>403</v>
      </c>
      <c r="D157" s="1">
        <v>15639</v>
      </c>
      <c r="E157" s="1">
        <v>47893</v>
      </c>
      <c r="F157" s="41">
        <f t="shared" si="17"/>
        <v>32.253999999999998</v>
      </c>
      <c r="G157" s="22">
        <f t="shared" si="18"/>
        <v>132.74056904761903</v>
      </c>
      <c r="H157" s="45">
        <f t="shared" si="19"/>
        <v>26.260304841269843</v>
      </c>
      <c r="I157" s="42">
        <f t="shared" si="20"/>
        <v>159.00087388888886</v>
      </c>
      <c r="J157" s="30">
        <f t="shared" si="22"/>
        <v>310</v>
      </c>
      <c r="K157" s="195"/>
      <c r="L157" s="27">
        <f t="shared" si="21"/>
        <v>469.00087388888886</v>
      </c>
    </row>
    <row r="158" spans="1:12" x14ac:dyDescent="0.45">
      <c r="A158" s="314"/>
      <c r="B158" s="5" t="s">
        <v>10</v>
      </c>
      <c r="C158" s="2">
        <v>404</v>
      </c>
      <c r="D158" s="1">
        <v>65827</v>
      </c>
      <c r="E158" s="1">
        <v>82818</v>
      </c>
      <c r="F158" s="41">
        <f>(E158-D158)*$N$1</f>
        <v>16.991</v>
      </c>
      <c r="G158" s="22">
        <f t="shared" si="18"/>
        <v>69.926055952380949</v>
      </c>
      <c r="H158" s="45">
        <f t="shared" si="19"/>
        <v>26.260304841269843</v>
      </c>
      <c r="I158" s="42">
        <f t="shared" si="20"/>
        <v>96.186360793650792</v>
      </c>
      <c r="J158" s="30">
        <f t="shared" si="22"/>
        <v>310</v>
      </c>
      <c r="K158" s="195"/>
      <c r="L158" s="27">
        <f>SUM(I158,J158,K158)</f>
        <v>406.18636079365081</v>
      </c>
    </row>
    <row r="159" spans="1:12" x14ac:dyDescent="0.45">
      <c r="A159" s="314"/>
      <c r="B159" s="5" t="s">
        <v>10</v>
      </c>
      <c r="C159" s="2">
        <v>501</v>
      </c>
      <c r="D159" s="1">
        <v>110219</v>
      </c>
      <c r="E159" s="1">
        <v>141622</v>
      </c>
      <c r="F159" s="41">
        <f t="shared" si="17"/>
        <v>31.403000000000002</v>
      </c>
      <c r="G159" s="22">
        <f t="shared" si="18"/>
        <v>129.23829880952383</v>
      </c>
      <c r="H159" s="45">
        <f t="shared" si="19"/>
        <v>26.260304841269843</v>
      </c>
      <c r="I159" s="42">
        <f t="shared" si="20"/>
        <v>155.49860365079365</v>
      </c>
      <c r="J159" s="30">
        <f t="shared" si="22"/>
        <v>310</v>
      </c>
      <c r="K159" s="195"/>
      <c r="L159" s="27">
        <f>SUM(I159,J159,K159)</f>
        <v>465.49860365079365</v>
      </c>
    </row>
    <row r="160" spans="1:12" x14ac:dyDescent="0.45">
      <c r="A160" s="314"/>
      <c r="B160" s="5" t="s">
        <v>10</v>
      </c>
      <c r="C160" s="2">
        <v>502</v>
      </c>
      <c r="D160" s="1">
        <v>2732167</v>
      </c>
      <c r="E160" s="1">
        <v>2749241</v>
      </c>
      <c r="F160" s="41">
        <f t="shared" si="17"/>
        <v>17.074000000000002</v>
      </c>
      <c r="G160" s="22">
        <f t="shared" si="18"/>
        <v>70.267640476190479</v>
      </c>
      <c r="H160" s="45">
        <f t="shared" si="19"/>
        <v>26.260304841269843</v>
      </c>
      <c r="I160" s="42">
        <f t="shared" si="20"/>
        <v>96.527945317460322</v>
      </c>
      <c r="J160" s="30">
        <f t="shared" si="22"/>
        <v>310</v>
      </c>
      <c r="K160" s="195"/>
      <c r="L160" s="27">
        <f t="shared" si="21"/>
        <v>406.52794531746031</v>
      </c>
    </row>
    <row r="161" spans="1:12" x14ac:dyDescent="0.45">
      <c r="A161" s="314"/>
      <c r="B161" s="5" t="s">
        <v>10</v>
      </c>
      <c r="C161" s="2">
        <v>503</v>
      </c>
      <c r="D161" s="1">
        <v>3730140</v>
      </c>
      <c r="E161" s="1">
        <v>3745242</v>
      </c>
      <c r="F161" s="41">
        <f t="shared" si="17"/>
        <v>15.102</v>
      </c>
      <c r="G161" s="22">
        <f t="shared" si="18"/>
        <v>62.151921428571427</v>
      </c>
      <c r="H161" s="45">
        <f t="shared" si="19"/>
        <v>26.260304841269843</v>
      </c>
      <c r="I161" s="42">
        <f t="shared" si="20"/>
        <v>88.41222626984127</v>
      </c>
      <c r="J161" s="30">
        <f t="shared" si="22"/>
        <v>310</v>
      </c>
      <c r="K161" s="195"/>
      <c r="L161" s="27">
        <f t="shared" si="21"/>
        <v>398.41222626984126</v>
      </c>
    </row>
    <row r="162" spans="1:12" x14ac:dyDescent="0.45">
      <c r="A162" s="314"/>
      <c r="B162" s="5" t="s">
        <v>10</v>
      </c>
      <c r="C162" s="2">
        <v>504</v>
      </c>
      <c r="D162" s="1">
        <v>3536178</v>
      </c>
      <c r="E162" s="1">
        <v>3566655</v>
      </c>
      <c r="F162" s="41">
        <f t="shared" si="17"/>
        <v>30.477</v>
      </c>
      <c r="G162" s="22">
        <f t="shared" si="18"/>
        <v>125.42736785714285</v>
      </c>
      <c r="H162" s="45">
        <f t="shared" si="19"/>
        <v>26.260304841269843</v>
      </c>
      <c r="I162" s="42">
        <f t="shared" si="20"/>
        <v>151.68767269841271</v>
      </c>
      <c r="J162" s="30">
        <f t="shared" si="22"/>
        <v>310</v>
      </c>
      <c r="K162" s="195"/>
      <c r="L162" s="27">
        <f t="shared" si="21"/>
        <v>461.68767269841271</v>
      </c>
    </row>
    <row r="163" spans="1:12" x14ac:dyDescent="0.45">
      <c r="A163" s="318"/>
      <c r="B163" s="5" t="s">
        <v>11</v>
      </c>
      <c r="C163" s="2">
        <v>101</v>
      </c>
      <c r="D163" s="1">
        <v>3006727</v>
      </c>
      <c r="E163" s="1">
        <v>3020597</v>
      </c>
      <c r="F163" s="41">
        <f t="shared" si="17"/>
        <v>13.870000000000001</v>
      </c>
      <c r="G163" s="22">
        <f t="shared" si="18"/>
        <v>57.081654761904765</v>
      </c>
      <c r="H163" s="45">
        <f t="shared" si="19"/>
        <v>26.260304841269843</v>
      </c>
      <c r="I163" s="42">
        <f t="shared" si="20"/>
        <v>83.341959603174615</v>
      </c>
      <c r="J163" s="30">
        <f t="shared" si="22"/>
        <v>310</v>
      </c>
      <c r="K163" s="195"/>
      <c r="L163" s="27">
        <f t="shared" si="21"/>
        <v>393.34195960317459</v>
      </c>
    </row>
    <row r="164" spans="1:12" x14ac:dyDescent="0.45">
      <c r="A164" s="318"/>
      <c r="B164" s="5" t="s">
        <v>11</v>
      </c>
      <c r="C164" s="2">
        <v>102</v>
      </c>
      <c r="D164" s="1">
        <v>2724085</v>
      </c>
      <c r="E164" s="1">
        <v>2748324</v>
      </c>
      <c r="F164" s="41">
        <f t="shared" si="17"/>
        <v>24.239000000000001</v>
      </c>
      <c r="G164" s="22">
        <f t="shared" si="18"/>
        <v>99.755027380952384</v>
      </c>
      <c r="H164" s="45">
        <f t="shared" si="19"/>
        <v>26.260304841269843</v>
      </c>
      <c r="I164" s="42">
        <f t="shared" si="20"/>
        <v>126.01533222222223</v>
      </c>
      <c r="J164" s="30">
        <f t="shared" si="22"/>
        <v>310</v>
      </c>
      <c r="K164" s="195"/>
      <c r="L164" s="27">
        <f t="shared" si="21"/>
        <v>436.01533222222224</v>
      </c>
    </row>
    <row r="165" spans="1:12" x14ac:dyDescent="0.45">
      <c r="A165" s="318"/>
      <c r="B165" s="5" t="s">
        <v>11</v>
      </c>
      <c r="C165" s="2">
        <v>103</v>
      </c>
      <c r="D165" s="1">
        <v>2363533</v>
      </c>
      <c r="E165" s="1">
        <v>2371954</v>
      </c>
      <c r="F165" s="41">
        <f t="shared" si="17"/>
        <v>8.4209999999999994</v>
      </c>
      <c r="G165" s="22">
        <f t="shared" si="18"/>
        <v>34.656424999999999</v>
      </c>
      <c r="H165" s="45">
        <f t="shared" si="19"/>
        <v>26.260304841269843</v>
      </c>
      <c r="I165" s="42">
        <f t="shared" si="20"/>
        <v>60.916729841269841</v>
      </c>
      <c r="J165" s="30">
        <f t="shared" si="22"/>
        <v>310</v>
      </c>
      <c r="K165" s="195"/>
      <c r="L165" s="27">
        <f t="shared" si="21"/>
        <v>370.91672984126984</v>
      </c>
    </row>
    <row r="166" spans="1:12" x14ac:dyDescent="0.45">
      <c r="A166" s="318"/>
      <c r="B166" s="5" t="s">
        <v>11</v>
      </c>
      <c r="C166" s="2">
        <v>104</v>
      </c>
      <c r="D166" s="1">
        <v>2768781</v>
      </c>
      <c r="E166" s="1">
        <v>2795459</v>
      </c>
      <c r="F166" s="41">
        <f t="shared" si="17"/>
        <v>26.678000000000001</v>
      </c>
      <c r="G166" s="22">
        <f t="shared" si="18"/>
        <v>109.79267380952382</v>
      </c>
      <c r="H166" s="45">
        <f t="shared" si="19"/>
        <v>26.260304841269843</v>
      </c>
      <c r="I166" s="42">
        <f t="shared" si="20"/>
        <v>136.05297865079365</v>
      </c>
      <c r="J166" s="30">
        <f t="shared" si="22"/>
        <v>310</v>
      </c>
      <c r="K166" s="195"/>
      <c r="L166" s="27">
        <f t="shared" si="21"/>
        <v>446.05297865079365</v>
      </c>
    </row>
    <row r="167" spans="1:12" x14ac:dyDescent="0.45">
      <c r="A167" s="318"/>
      <c r="B167" s="5" t="s">
        <v>11</v>
      </c>
      <c r="C167" s="2">
        <v>201</v>
      </c>
      <c r="D167" s="1">
        <v>2078726</v>
      </c>
      <c r="E167" s="1">
        <v>2095483</v>
      </c>
      <c r="F167" s="41">
        <f t="shared" si="17"/>
        <v>16.757000000000001</v>
      </c>
      <c r="G167" s="22">
        <f t="shared" si="18"/>
        <v>68.963034523809526</v>
      </c>
      <c r="H167" s="45">
        <f t="shared" si="19"/>
        <v>26.260304841269843</v>
      </c>
      <c r="I167" s="42">
        <f t="shared" si="20"/>
        <v>95.223339365079369</v>
      </c>
      <c r="J167" s="30">
        <f t="shared" si="22"/>
        <v>310</v>
      </c>
      <c r="K167" s="195"/>
      <c r="L167" s="27">
        <f t="shared" si="21"/>
        <v>405.22333936507937</v>
      </c>
    </row>
    <row r="168" spans="1:12" x14ac:dyDescent="0.45">
      <c r="A168" s="318"/>
      <c r="B168" s="5" t="s">
        <v>11</v>
      </c>
      <c r="C168" s="2">
        <v>202</v>
      </c>
      <c r="D168" s="1">
        <v>105894</v>
      </c>
      <c r="E168" s="1">
        <v>127967</v>
      </c>
      <c r="F168" s="41">
        <f t="shared" si="17"/>
        <v>22.073</v>
      </c>
      <c r="G168" s="22">
        <f t="shared" si="18"/>
        <v>90.84090595238095</v>
      </c>
      <c r="H168" s="45">
        <f t="shared" si="19"/>
        <v>26.260304841269843</v>
      </c>
      <c r="I168" s="42">
        <f t="shared" si="20"/>
        <v>117.10121079365079</v>
      </c>
      <c r="J168" s="30">
        <f t="shared" si="22"/>
        <v>310</v>
      </c>
      <c r="K168" s="195"/>
      <c r="L168" s="27">
        <f t="shared" si="21"/>
        <v>427.10121079365081</v>
      </c>
    </row>
    <row r="169" spans="1:12" x14ac:dyDescent="0.45">
      <c r="A169" s="318"/>
      <c r="B169" s="5" t="s">
        <v>11</v>
      </c>
      <c r="C169" s="2">
        <v>203</v>
      </c>
      <c r="D169" s="1">
        <v>2707743</v>
      </c>
      <c r="E169" s="1">
        <v>2719216</v>
      </c>
      <c r="F169" s="41">
        <f t="shared" si="17"/>
        <v>11.473000000000001</v>
      </c>
      <c r="G169" s="22">
        <f t="shared" si="18"/>
        <v>47.216858333333334</v>
      </c>
      <c r="H169" s="45">
        <f t="shared" si="19"/>
        <v>26.260304841269843</v>
      </c>
      <c r="I169" s="42">
        <f t="shared" si="20"/>
        <v>73.477163174603177</v>
      </c>
      <c r="J169" s="30">
        <f t="shared" si="22"/>
        <v>310</v>
      </c>
      <c r="K169" s="195"/>
      <c r="L169" s="27">
        <f t="shared" si="21"/>
        <v>383.47716317460316</v>
      </c>
    </row>
    <row r="170" spans="1:12" x14ac:dyDescent="0.45">
      <c r="A170" s="318"/>
      <c r="B170" s="5" t="s">
        <v>11</v>
      </c>
      <c r="C170" s="2">
        <v>204</v>
      </c>
      <c r="D170" s="1">
        <v>2312431</v>
      </c>
      <c r="E170" s="1">
        <v>2325134</v>
      </c>
      <c r="F170" s="41">
        <f t="shared" si="17"/>
        <v>12.702999999999999</v>
      </c>
      <c r="G170" s="22">
        <f t="shared" si="18"/>
        <v>52.278894047619048</v>
      </c>
      <c r="H170" s="45">
        <f t="shared" si="19"/>
        <v>26.260304841269843</v>
      </c>
      <c r="I170" s="42">
        <f t="shared" si="20"/>
        <v>78.53919888888889</v>
      </c>
      <c r="J170" s="30">
        <f t="shared" si="22"/>
        <v>310</v>
      </c>
      <c r="K170" s="195"/>
      <c r="L170" s="27">
        <f t="shared" si="21"/>
        <v>388.5391988888889</v>
      </c>
    </row>
    <row r="171" spans="1:12" x14ac:dyDescent="0.45">
      <c r="A171" s="318"/>
      <c r="B171" s="5" t="s">
        <v>11</v>
      </c>
      <c r="C171" s="2">
        <v>301</v>
      </c>
      <c r="D171" s="1">
        <v>3363468</v>
      </c>
      <c r="E171" s="1">
        <v>3374585</v>
      </c>
      <c r="F171" s="41">
        <f t="shared" si="17"/>
        <v>11.117000000000001</v>
      </c>
      <c r="G171" s="22">
        <f t="shared" si="18"/>
        <v>45.751748809523811</v>
      </c>
      <c r="H171" s="45">
        <f t="shared" si="19"/>
        <v>26.260304841269843</v>
      </c>
      <c r="I171" s="42">
        <f t="shared" si="20"/>
        <v>72.012053650793661</v>
      </c>
      <c r="J171" s="30">
        <f t="shared" si="22"/>
        <v>310</v>
      </c>
      <c r="K171" s="195"/>
      <c r="L171" s="27">
        <f t="shared" si="21"/>
        <v>382.01205365079363</v>
      </c>
    </row>
    <row r="172" spans="1:12" x14ac:dyDescent="0.45">
      <c r="A172" s="318"/>
      <c r="B172" s="5" t="s">
        <v>11</v>
      </c>
      <c r="C172" s="2">
        <v>302</v>
      </c>
      <c r="D172" s="1">
        <v>2675021</v>
      </c>
      <c r="E172" s="1">
        <v>2689438</v>
      </c>
      <c r="F172" s="41">
        <f t="shared" si="17"/>
        <v>14.417</v>
      </c>
      <c r="G172" s="22">
        <f t="shared" si="18"/>
        <v>59.332820238095238</v>
      </c>
      <c r="H172" s="45">
        <f t="shared" si="19"/>
        <v>26.260304841269843</v>
      </c>
      <c r="I172" s="42">
        <f t="shared" si="20"/>
        <v>85.59312507936508</v>
      </c>
      <c r="J172" s="30">
        <f t="shared" si="22"/>
        <v>310</v>
      </c>
      <c r="K172" s="195"/>
      <c r="L172" s="27">
        <f t="shared" si="21"/>
        <v>395.59312507936511</v>
      </c>
    </row>
    <row r="173" spans="1:12" x14ac:dyDescent="0.45">
      <c r="A173" s="318"/>
      <c r="B173" s="5" t="s">
        <v>11</v>
      </c>
      <c r="C173" s="2">
        <v>303</v>
      </c>
      <c r="D173" s="1">
        <v>2456963</v>
      </c>
      <c r="E173" s="1">
        <v>2470108</v>
      </c>
      <c r="F173" s="41">
        <f t="shared" si="17"/>
        <v>13.145</v>
      </c>
      <c r="G173" s="22">
        <f t="shared" si="18"/>
        <v>54.097934523809521</v>
      </c>
      <c r="H173" s="45">
        <f t="shared" si="19"/>
        <v>26.260304841269843</v>
      </c>
      <c r="I173" s="42">
        <f t="shared" si="20"/>
        <v>80.358239365079356</v>
      </c>
      <c r="J173" s="30">
        <f t="shared" si="22"/>
        <v>310</v>
      </c>
      <c r="K173" s="195"/>
      <c r="L173" s="27">
        <f t="shared" si="21"/>
        <v>390.35823936507938</v>
      </c>
    </row>
    <row r="174" spans="1:12" x14ac:dyDescent="0.45">
      <c r="A174" s="318"/>
      <c r="B174" s="5" t="s">
        <v>11</v>
      </c>
      <c r="C174" s="2">
        <v>304</v>
      </c>
      <c r="D174" s="1">
        <v>5293640</v>
      </c>
      <c r="E174" s="1">
        <v>5319455</v>
      </c>
      <c r="F174" s="41">
        <f t="shared" si="17"/>
        <v>25.815000000000001</v>
      </c>
      <c r="G174" s="22">
        <f t="shared" si="18"/>
        <v>106.24101785714286</v>
      </c>
      <c r="H174" s="45">
        <f t="shared" si="19"/>
        <v>26.260304841269843</v>
      </c>
      <c r="I174" s="42">
        <f t="shared" si="20"/>
        <v>132.50132269841271</v>
      </c>
      <c r="J174" s="30">
        <f t="shared" si="22"/>
        <v>310</v>
      </c>
      <c r="K174" s="195"/>
      <c r="L174" s="27">
        <f t="shared" si="21"/>
        <v>442.50132269841271</v>
      </c>
    </row>
    <row r="175" spans="1:12" x14ac:dyDescent="0.45">
      <c r="A175" s="318"/>
      <c r="B175" s="5" t="s">
        <v>11</v>
      </c>
      <c r="C175" s="2">
        <v>401</v>
      </c>
      <c r="D175" s="1">
        <v>3496872</v>
      </c>
      <c r="E175" s="1">
        <v>3496872</v>
      </c>
      <c r="F175" s="41">
        <f t="shared" si="17"/>
        <v>0</v>
      </c>
      <c r="G175" s="22">
        <f t="shared" si="18"/>
        <v>0</v>
      </c>
      <c r="H175" s="45">
        <f t="shared" si="19"/>
        <v>26.260304841269843</v>
      </c>
      <c r="I175" s="42">
        <f t="shared" si="20"/>
        <v>26.260304841269843</v>
      </c>
      <c r="J175" s="30">
        <f t="shared" si="22"/>
        <v>310</v>
      </c>
      <c r="K175" s="195"/>
      <c r="L175" s="27">
        <f t="shared" si="21"/>
        <v>336.26030484126983</v>
      </c>
    </row>
    <row r="176" spans="1:12" x14ac:dyDescent="0.45">
      <c r="A176" s="318"/>
      <c r="B176" s="5" t="s">
        <v>11</v>
      </c>
      <c r="C176" s="2">
        <v>402</v>
      </c>
      <c r="D176" s="1">
        <v>1988400</v>
      </c>
      <c r="E176" s="1">
        <v>1996437</v>
      </c>
      <c r="F176" s="41">
        <f t="shared" si="17"/>
        <v>8.0370000000000008</v>
      </c>
      <c r="G176" s="22">
        <f t="shared" si="18"/>
        <v>33.076082142857146</v>
      </c>
      <c r="H176" s="45">
        <f t="shared" si="19"/>
        <v>26.260304841269843</v>
      </c>
      <c r="I176" s="42">
        <f t="shared" si="20"/>
        <v>59.336386984126989</v>
      </c>
      <c r="J176" s="30">
        <f t="shared" si="22"/>
        <v>310</v>
      </c>
      <c r="K176" s="195"/>
      <c r="L176" s="27">
        <f t="shared" si="21"/>
        <v>369.33638698412699</v>
      </c>
    </row>
    <row r="177" spans="1:12" x14ac:dyDescent="0.45">
      <c r="A177" s="318"/>
      <c r="B177" s="5" t="s">
        <v>11</v>
      </c>
      <c r="C177" s="2">
        <v>403</v>
      </c>
      <c r="D177" s="1">
        <v>3204234</v>
      </c>
      <c r="E177" s="1">
        <v>3220424</v>
      </c>
      <c r="F177" s="41">
        <f t="shared" si="17"/>
        <v>16.190000000000001</v>
      </c>
      <c r="G177" s="22">
        <f t="shared" si="18"/>
        <v>66.629559523809533</v>
      </c>
      <c r="H177" s="45">
        <f t="shared" si="19"/>
        <v>26.260304841269843</v>
      </c>
      <c r="I177" s="42">
        <f t="shared" si="20"/>
        <v>92.889864365079376</v>
      </c>
      <c r="J177" s="30">
        <f t="shared" si="22"/>
        <v>310</v>
      </c>
      <c r="K177" s="195"/>
      <c r="L177" s="27">
        <f t="shared" si="21"/>
        <v>402.88986436507935</v>
      </c>
    </row>
    <row r="178" spans="1:12" x14ac:dyDescent="0.45">
      <c r="A178" s="318"/>
      <c r="B178" s="242" t="s">
        <v>11</v>
      </c>
      <c r="C178" s="2">
        <v>404</v>
      </c>
      <c r="D178" s="1">
        <v>4148547</v>
      </c>
      <c r="E178" s="1">
        <v>4158372</v>
      </c>
      <c r="F178" s="41">
        <f t="shared" si="17"/>
        <v>9.8250000000000011</v>
      </c>
      <c r="G178" s="22">
        <f t="shared" si="18"/>
        <v>40.434553571428573</v>
      </c>
      <c r="H178" s="45">
        <f t="shared" si="19"/>
        <v>26.260304841269843</v>
      </c>
      <c r="I178" s="42">
        <f t="shared" si="20"/>
        <v>66.694858412698409</v>
      </c>
      <c r="J178" s="30">
        <f t="shared" si="22"/>
        <v>310</v>
      </c>
      <c r="K178" s="195"/>
      <c r="L178" s="27">
        <f t="shared" si="21"/>
        <v>376.69485841269841</v>
      </c>
    </row>
    <row r="179" spans="1:12" x14ac:dyDescent="0.45">
      <c r="A179" s="318"/>
      <c r="B179" s="5" t="s">
        <v>11</v>
      </c>
      <c r="C179" s="2">
        <v>501</v>
      </c>
      <c r="D179" s="1">
        <v>3805388</v>
      </c>
      <c r="E179" s="1">
        <v>3864245</v>
      </c>
      <c r="F179" s="41">
        <f t="shared" si="17"/>
        <v>58.856999999999999</v>
      </c>
      <c r="G179" s="22">
        <f t="shared" si="18"/>
        <v>242.22458214285714</v>
      </c>
      <c r="H179" s="45">
        <f t="shared" si="19"/>
        <v>26.260304841269843</v>
      </c>
      <c r="I179" s="42">
        <f t="shared" si="20"/>
        <v>268.484886984127</v>
      </c>
      <c r="J179" s="30">
        <f t="shared" si="22"/>
        <v>310</v>
      </c>
      <c r="K179" s="195"/>
      <c r="L179" s="27">
        <f t="shared" si="21"/>
        <v>578.484886984127</v>
      </c>
    </row>
    <row r="180" spans="1:12" x14ac:dyDescent="0.45">
      <c r="A180" s="318"/>
      <c r="B180" s="5" t="s">
        <v>11</v>
      </c>
      <c r="C180" s="2">
        <v>502</v>
      </c>
      <c r="D180" s="1">
        <v>3885402</v>
      </c>
      <c r="E180" s="1">
        <v>3894808</v>
      </c>
      <c r="F180" s="41">
        <f t="shared" si="17"/>
        <v>9.4060000000000006</v>
      </c>
      <c r="G180" s="22">
        <f t="shared" si="18"/>
        <v>38.710169047619047</v>
      </c>
      <c r="H180" s="45">
        <f t="shared" si="19"/>
        <v>26.260304841269843</v>
      </c>
      <c r="I180" s="42">
        <f t="shared" si="20"/>
        <v>64.97047388888889</v>
      </c>
      <c r="J180" s="30">
        <f t="shared" si="22"/>
        <v>310</v>
      </c>
      <c r="K180" s="195"/>
      <c r="L180" s="27">
        <f t="shared" si="21"/>
        <v>374.97047388888888</v>
      </c>
    </row>
    <row r="181" spans="1:12" x14ac:dyDescent="0.45">
      <c r="A181" s="318"/>
      <c r="B181" s="5" t="s">
        <v>11</v>
      </c>
      <c r="C181" s="2">
        <v>503</v>
      </c>
      <c r="D181" s="1">
        <v>2356238</v>
      </c>
      <c r="E181" s="1">
        <v>2371614</v>
      </c>
      <c r="F181" s="41">
        <f t="shared" si="17"/>
        <v>15.375999999999999</v>
      </c>
      <c r="G181" s="22">
        <f t="shared" si="18"/>
        <v>63.279561904761906</v>
      </c>
      <c r="H181" s="45">
        <f t="shared" si="19"/>
        <v>26.260304841269843</v>
      </c>
      <c r="I181" s="42">
        <f t="shared" si="20"/>
        <v>89.539866746031748</v>
      </c>
      <c r="J181" s="30">
        <f t="shared" si="22"/>
        <v>310</v>
      </c>
      <c r="K181" s="195"/>
      <c r="L181" s="27">
        <f t="shared" si="21"/>
        <v>399.53986674603175</v>
      </c>
    </row>
    <row r="182" spans="1:12" x14ac:dyDescent="0.45">
      <c r="A182" s="318"/>
      <c r="B182" s="5" t="s">
        <v>11</v>
      </c>
      <c r="C182" s="2">
        <v>504</v>
      </c>
      <c r="D182" s="1">
        <v>3203160</v>
      </c>
      <c r="E182" s="1">
        <v>3226146</v>
      </c>
      <c r="F182" s="41">
        <f t="shared" si="17"/>
        <v>22.986000000000001</v>
      </c>
      <c r="G182" s="22">
        <f t="shared" si="18"/>
        <v>94.598335714285724</v>
      </c>
      <c r="H182" s="45">
        <f t="shared" si="19"/>
        <v>26.260304841269843</v>
      </c>
      <c r="I182" s="42">
        <f t="shared" si="20"/>
        <v>120.85864055555557</v>
      </c>
      <c r="J182" s="30">
        <f t="shared" si="22"/>
        <v>310</v>
      </c>
      <c r="K182" s="195"/>
      <c r="L182" s="27">
        <f t="shared" si="21"/>
        <v>430.85864055555555</v>
      </c>
    </row>
    <row r="183" spans="1:12" ht="15" customHeight="1" x14ac:dyDescent="0.45">
      <c r="F183" s="27">
        <f>SUM(F3:F182)</f>
        <v>2967.444</v>
      </c>
      <c r="G183" s="22">
        <f>MMULT($G$1,1/$F$183)*F183</f>
        <v>12212.445128571428</v>
      </c>
      <c r="H183" s="45">
        <f>SUM(H3:H182)</f>
        <v>4726.8548714285735</v>
      </c>
      <c r="I183" s="42">
        <f>SUM(G183,H183)</f>
        <v>16939.300000000003</v>
      </c>
    </row>
    <row r="184" spans="1:12" ht="15" customHeight="1" x14ac:dyDescent="0.45">
      <c r="F184" t="s">
        <v>12</v>
      </c>
      <c r="I184" s="109">
        <f>SUM(-E190,I1)</f>
        <v>0</v>
      </c>
    </row>
    <row r="185" spans="1:12" ht="15" customHeight="1" x14ac:dyDescent="0.45"/>
    <row r="186" spans="1:12" ht="18" x14ac:dyDescent="0.55000000000000004">
      <c r="D186" s="322" t="s">
        <v>274</v>
      </c>
      <c r="E186" s="322"/>
      <c r="F186" s="322"/>
    </row>
    <row r="187" spans="1:12" ht="15" customHeight="1" x14ac:dyDescent="0.45">
      <c r="D187" s="54" t="s">
        <v>72</v>
      </c>
      <c r="E187" s="149" t="s">
        <v>275</v>
      </c>
      <c r="F187" s="54" t="s">
        <v>69</v>
      </c>
    </row>
    <row r="188" spans="1:12" ht="15" customHeight="1" x14ac:dyDescent="0.45">
      <c r="D188" s="46">
        <v>6244656</v>
      </c>
      <c r="E188" s="87">
        <v>7224.7</v>
      </c>
      <c r="F188" s="93">
        <v>1869</v>
      </c>
      <c r="G188" s="92">
        <f>MMULT(E188,1/F188)</f>
        <v>3.8655430711610483</v>
      </c>
      <c r="H188" s="20"/>
    </row>
    <row r="189" spans="1:12" ht="15" customHeight="1" thickBot="1" x14ac:dyDescent="0.5">
      <c r="D189" s="46">
        <v>6244619</v>
      </c>
      <c r="E189" s="88">
        <v>9714.6</v>
      </c>
      <c r="F189" s="94">
        <v>2247</v>
      </c>
      <c r="G189" s="92">
        <f>MMULT(E189,1/F189)</f>
        <v>4.3233644859813083</v>
      </c>
      <c r="H189" s="152"/>
    </row>
    <row r="190" spans="1:12" ht="15" customHeight="1" thickBot="1" x14ac:dyDescent="0.5">
      <c r="D190" s="6" t="s">
        <v>33</v>
      </c>
      <c r="E190" s="48">
        <f>SUM(E188:E189)</f>
        <v>16939.3</v>
      </c>
      <c r="F190" s="95">
        <f>SUM(F188:F189)</f>
        <v>4116</v>
      </c>
      <c r="H190" s="61"/>
    </row>
    <row r="191" spans="1:12" ht="15" customHeight="1" x14ac:dyDescent="0.45">
      <c r="H191" s="61"/>
    </row>
    <row r="192" spans="1:12" ht="15" customHeight="1" x14ac:dyDescent="0.45">
      <c r="D192" s="319" t="s">
        <v>69</v>
      </c>
      <c r="E192" s="319"/>
      <c r="F192" s="49">
        <f>SUM(F190)</f>
        <v>4116</v>
      </c>
      <c r="G192" s="156">
        <f>MMULT(E190,1/F190)</f>
        <v>4.1154761904761905</v>
      </c>
      <c r="H192" s="155" t="s">
        <v>12</v>
      </c>
      <c r="I192" s="157" cm="1">
        <f t="array" ref="I192">MMULT(E190,1/F190)</f>
        <v>4.1154761904761905</v>
      </c>
    </row>
    <row r="193" spans="4:8" ht="15" customHeight="1" x14ac:dyDescent="0.45">
      <c r="D193" s="320" t="s">
        <v>271</v>
      </c>
      <c r="E193" s="321"/>
      <c r="F193" s="49">
        <f>SUM(F183)</f>
        <v>2967.444</v>
      </c>
      <c r="G193" s="27">
        <f>MMULT(F193,G192)</f>
        <v>12212.445128571428</v>
      </c>
      <c r="H193" s="61"/>
    </row>
    <row r="194" spans="4:8" ht="15" customHeight="1" thickBot="1" x14ac:dyDescent="0.5">
      <c r="D194" s="320" t="s">
        <v>270</v>
      </c>
      <c r="E194" s="321"/>
      <c r="F194" s="49">
        <f>SUM(F192,-F193)</f>
        <v>1148.556</v>
      </c>
      <c r="G194" s="158">
        <f>MMULT(F194,G192)</f>
        <v>4726.8548714285716</v>
      </c>
      <c r="H194" s="61"/>
    </row>
    <row r="195" spans="4:8" ht="15" customHeight="1" thickBot="1" x14ac:dyDescent="0.5">
      <c r="F195" s="7"/>
      <c r="G195" s="48">
        <f>SUM(G193:G194)</f>
        <v>16939.3</v>
      </c>
    </row>
    <row r="196" spans="4:8" ht="15" customHeight="1" x14ac:dyDescent="0.45">
      <c r="F196" s="7"/>
    </row>
    <row r="197" spans="4:8" ht="15" customHeight="1" x14ac:dyDescent="0.45">
      <c r="F197" s="7"/>
    </row>
    <row r="198" spans="4:8" ht="15" customHeight="1" x14ac:dyDescent="0.45">
      <c r="D198" t="s">
        <v>70</v>
      </c>
      <c r="F198" s="20">
        <f>MAX(F3:F182)</f>
        <v>65.989000000000004</v>
      </c>
      <c r="G198" s="20">
        <f>MAX(I3:I182)</f>
        <v>297.83646317460318</v>
      </c>
    </row>
    <row r="199" spans="4:8" ht="15" customHeight="1" x14ac:dyDescent="0.45">
      <c r="D199" t="s">
        <v>71</v>
      </c>
      <c r="F199" s="20">
        <f>MIN(F3:F182)</f>
        <v>0</v>
      </c>
      <c r="G199" s="20">
        <f>MIN(I3:I182)</f>
        <v>26.260304841269843</v>
      </c>
    </row>
    <row r="200" spans="4:8" ht="15" customHeight="1" x14ac:dyDescent="0.45">
      <c r="D200" t="s">
        <v>265</v>
      </c>
      <c r="F200" s="92">
        <f>AVERAGE(F3:F182)</f>
        <v>16.485800000000001</v>
      </c>
      <c r="G200" s="92">
        <f>AVERAGE(G3:G182)</f>
        <v>67.846917380952348</v>
      </c>
    </row>
    <row r="201" spans="4:8" ht="15" customHeight="1" x14ac:dyDescent="0.45">
      <c r="D201" t="s">
        <v>273</v>
      </c>
      <c r="F201" s="92">
        <f>AVERAGE(F199,F198)</f>
        <v>32.994500000000002</v>
      </c>
      <c r="G201" t="s">
        <v>12</v>
      </c>
    </row>
    <row r="202" spans="4:8" ht="15.75" customHeight="1" x14ac:dyDescent="0.45"/>
    <row r="203" spans="4:8" ht="15" customHeight="1" x14ac:dyDescent="0.45"/>
    <row r="204" spans="4:8" ht="15" customHeight="1" x14ac:dyDescent="0.45"/>
    <row r="205" spans="4:8" ht="15" customHeight="1" x14ac:dyDescent="0.45"/>
    <row r="206" spans="4:8" ht="15" customHeight="1" x14ac:dyDescent="0.45"/>
    <row r="207" spans="4:8" ht="15" customHeight="1" x14ac:dyDescent="0.45"/>
    <row r="208" spans="4:8" ht="15" customHeight="1" x14ac:dyDescent="0.45"/>
    <row r="209" ht="15" customHeight="1" x14ac:dyDescent="0.45"/>
    <row r="210" ht="15" customHeight="1" x14ac:dyDescent="0.45"/>
    <row r="211" ht="15" customHeight="1" x14ac:dyDescent="0.45"/>
    <row r="212" ht="15" customHeight="1" x14ac:dyDescent="0.45"/>
    <row r="213" ht="15" customHeight="1" x14ac:dyDescent="0.45"/>
    <row r="214" ht="15" customHeight="1" x14ac:dyDescent="0.45"/>
    <row r="215" ht="15" customHeight="1" x14ac:dyDescent="0.45"/>
    <row r="216" ht="15" customHeight="1" x14ac:dyDescent="0.45"/>
    <row r="217" ht="15" customHeight="1" x14ac:dyDescent="0.45"/>
    <row r="218" ht="15" customHeight="1" x14ac:dyDescent="0.45"/>
    <row r="219" ht="15" customHeight="1" x14ac:dyDescent="0.45"/>
    <row r="220" ht="15" customHeight="1" x14ac:dyDescent="0.45"/>
    <row r="221" ht="15" customHeight="1" x14ac:dyDescent="0.45"/>
    <row r="222" ht="15.75" customHeight="1" x14ac:dyDescent="0.45"/>
  </sheetData>
  <mergeCells count="15">
    <mergeCell ref="A63:A82"/>
    <mergeCell ref="D1:E1"/>
    <mergeCell ref="I1:J1"/>
    <mergeCell ref="A3:A22"/>
    <mergeCell ref="A23:A42"/>
    <mergeCell ref="A43:A62"/>
    <mergeCell ref="D192:E192"/>
    <mergeCell ref="D193:E193"/>
    <mergeCell ref="D194:E194"/>
    <mergeCell ref="A83:A102"/>
    <mergeCell ref="A103:A122"/>
    <mergeCell ref="A123:A142"/>
    <mergeCell ref="A143:A162"/>
    <mergeCell ref="A163:A182"/>
    <mergeCell ref="D186:F186"/>
  </mergeCells>
  <pageMargins left="0.7" right="0.7" top="0.75" bottom="0.75" header="0.3" footer="0.3"/>
  <pageSetup paperSize="9" orientation="portrait" horizontalDpi="4294967293" vertic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</vt:i4>
      </vt:variant>
    </vt:vector>
  </HeadingPairs>
  <TitlesOfParts>
    <vt:vector size="32" baseType="lpstr">
      <vt:lpstr>Cuota Mes</vt:lpstr>
      <vt:lpstr>Pago Cuota MC 2025</vt:lpstr>
      <vt:lpstr>Cuota-Pago=Saldo</vt:lpstr>
      <vt:lpstr>Ene 25</vt:lpstr>
      <vt:lpstr>Feb 25</vt:lpstr>
      <vt:lpstr>Mar 25</vt:lpstr>
      <vt:lpstr>Recibo CM-JP</vt:lpstr>
      <vt:lpstr>Abr 25</vt:lpstr>
      <vt:lpstr>May 25</vt:lpstr>
      <vt:lpstr>Jun 25</vt:lpstr>
      <vt:lpstr>Jul 25</vt:lpstr>
      <vt:lpstr>Ago 25</vt:lpstr>
      <vt:lpstr>Sep 25</vt:lpstr>
      <vt:lpstr>Oct 25</vt:lpstr>
      <vt:lpstr>Nov 25</vt:lpstr>
      <vt:lpstr>Dic 25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Pago Cuota MC 2024</vt:lpstr>
      <vt:lpstr>M3 Dpto</vt:lpstr>
      <vt:lpstr>% Dpto.</vt:lpstr>
      <vt:lpstr>'Cuota Mes'!Área_de_impresión</vt:lpstr>
      <vt:lpstr>'Pago Cuota MC 2024'!Área_de_impresión</vt:lpstr>
      <vt:lpstr>'Pago Cuota MC 2025'!Área_de_impresión</vt:lpstr>
      <vt:lpstr>'Recibo CM-JP'!Área_de_impresión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Sergio Portilla Energía Renovable</cp:lastModifiedBy>
  <cp:lastPrinted>2026-01-01T13:47:50Z</cp:lastPrinted>
  <dcterms:created xsi:type="dcterms:W3CDTF">2018-06-11T17:41:55Z</dcterms:created>
  <dcterms:modified xsi:type="dcterms:W3CDTF">2026-01-05T11:39:12Z</dcterms:modified>
</cp:coreProperties>
</file>